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Источники" sheetId="16" r:id="rId1"/>
    <sheet name="Таблица" sheetId="17" r:id="rId2"/>
  </sheets>
  <definedNames>
    <definedName name="_xlnm._FilterDatabase" localSheetId="0" hidden="1">Источники!$A$3:$E$3</definedName>
    <definedName name="_xlnm._FilterDatabase" localSheetId="1" hidden="1">Таблица!$A$2:$CK$88</definedName>
  </definedNames>
  <calcPr calcId="125725"/>
</workbook>
</file>

<file path=xl/calcChain.xml><?xml version="1.0" encoding="utf-8"?>
<calcChain xmlns="http://schemas.openxmlformats.org/spreadsheetml/2006/main">
  <c r="BO73" i="17"/>
  <c r="BP73" s="1"/>
  <c r="BO77"/>
  <c r="BP77" s="1"/>
  <c r="BO42"/>
  <c r="BP42" s="1"/>
  <c r="BO39"/>
  <c r="BP39" s="1"/>
  <c r="BO7"/>
  <c r="BP7" s="1"/>
  <c r="BO10"/>
  <c r="BP10" s="1"/>
  <c r="BG73"/>
  <c r="BJ73" s="1"/>
  <c r="BG77"/>
  <c r="BJ77" s="1"/>
  <c r="BG42"/>
  <c r="BJ42" s="1"/>
  <c r="BG39"/>
  <c r="BJ39" s="1"/>
  <c r="BG7"/>
  <c r="BJ7" s="1"/>
  <c r="BG10"/>
  <c r="BJ10" s="1"/>
  <c r="AF73"/>
  <c r="AG73" s="1"/>
  <c r="AF77"/>
  <c r="AG77" s="1"/>
  <c r="AF42"/>
  <c r="AG42" s="1"/>
  <c r="AF39"/>
  <c r="AG39" s="1"/>
  <c r="AF7"/>
  <c r="AG7" s="1"/>
  <c r="AF10"/>
  <c r="AG10" s="1"/>
  <c r="AE73"/>
  <c r="AE77"/>
  <c r="AE42"/>
  <c r="AE39"/>
  <c r="AE7"/>
  <c r="AE10"/>
  <c r="AD73"/>
  <c r="AD77"/>
  <c r="AD42"/>
  <c r="AD39"/>
  <c r="AD7"/>
  <c r="AD10"/>
  <c r="AC10"/>
  <c r="AB10"/>
  <c r="AC88"/>
  <c r="AC73"/>
  <c r="AC77"/>
  <c r="AC42"/>
  <c r="AC39"/>
  <c r="AC7"/>
  <c r="AB88"/>
  <c r="AB73"/>
  <c r="AB77"/>
  <c r="AB42"/>
  <c r="AB39"/>
  <c r="AB7"/>
  <c r="S73"/>
  <c r="S77"/>
  <c r="S42"/>
  <c r="S39"/>
  <c r="S7"/>
  <c r="S10"/>
  <c r="O77"/>
  <c r="Q77" s="1"/>
  <c r="O42"/>
  <c r="Q42" s="1"/>
  <c r="O39"/>
  <c r="Q39" s="1"/>
  <c r="O7"/>
  <c r="Q7" s="1"/>
  <c r="O10"/>
  <c r="Q10" s="1"/>
  <c r="O73"/>
  <c r="Q73" s="1"/>
  <c r="I73"/>
  <c r="I77"/>
  <c r="I42"/>
  <c r="I39"/>
  <c r="I7"/>
  <c r="I10"/>
  <c r="E73"/>
  <c r="E77"/>
  <c r="E42"/>
  <c r="E39"/>
  <c r="E7"/>
  <c r="E10"/>
  <c r="BO9"/>
  <c r="BP9" s="1"/>
  <c r="BO44"/>
  <c r="BP44" s="1"/>
  <c r="BG9"/>
  <c r="BJ9" s="1"/>
  <c r="BG44"/>
  <c r="BJ44" s="1"/>
  <c r="AF9"/>
  <c r="AG9" s="1"/>
  <c r="AF44"/>
  <c r="AG44" s="1"/>
  <c r="AE9"/>
  <c r="AE44"/>
  <c r="AD9"/>
  <c r="AD44"/>
  <c r="AC9"/>
  <c r="AC44"/>
  <c r="AB9"/>
  <c r="AB44"/>
  <c r="S9"/>
  <c r="S44"/>
  <c r="O9"/>
  <c r="Q9" s="1"/>
  <c r="O44"/>
  <c r="Q44" s="1"/>
  <c r="I9"/>
  <c r="I44"/>
  <c r="E9"/>
  <c r="E44"/>
  <c r="O13"/>
  <c r="O8"/>
  <c r="Z38"/>
  <c r="AE38" s="1"/>
  <c r="Z35"/>
  <c r="AE35" s="1"/>
  <c r="AF45"/>
  <c r="AE65"/>
  <c r="AE70"/>
  <c r="AE75"/>
  <c r="AE48"/>
  <c r="AE78"/>
  <c r="AE56"/>
  <c r="AE51"/>
  <c r="AE59"/>
  <c r="AE66"/>
  <c r="AE57"/>
  <c r="AE74"/>
  <c r="AE79"/>
  <c r="AE8"/>
  <c r="AE62"/>
  <c r="AE4"/>
  <c r="AE3"/>
  <c r="AE6"/>
  <c r="AE5"/>
  <c r="AE64"/>
  <c r="AE12"/>
  <c r="AE11"/>
  <c r="AE81"/>
  <c r="AE76"/>
  <c r="AE13"/>
  <c r="AE14"/>
  <c r="AE83"/>
  <c r="AE82"/>
  <c r="AE85"/>
  <c r="AE17"/>
  <c r="AE15"/>
  <c r="AE80"/>
  <c r="AE18"/>
  <c r="AE16"/>
  <c r="AE88"/>
  <c r="AE19"/>
  <c r="AE71"/>
  <c r="AE20"/>
  <c r="AE69"/>
  <c r="AE21"/>
  <c r="AE23"/>
  <c r="AE22"/>
  <c r="AE25"/>
  <c r="AE86"/>
  <c r="AE84"/>
  <c r="AE87"/>
  <c r="AE24"/>
  <c r="AE43"/>
  <c r="AE27"/>
  <c r="AE29"/>
  <c r="AE26"/>
  <c r="AE28"/>
  <c r="AE31"/>
  <c r="AE30"/>
  <c r="AE32"/>
  <c r="AE33"/>
  <c r="AE34"/>
  <c r="AE36"/>
  <c r="AE37"/>
  <c r="AE41"/>
  <c r="AE40"/>
  <c r="AE46"/>
  <c r="AE47"/>
  <c r="AE49"/>
  <c r="AE53"/>
  <c r="AE50"/>
  <c r="AE52"/>
  <c r="AE54"/>
  <c r="AE55"/>
  <c r="AE58"/>
  <c r="AE61"/>
  <c r="AE60"/>
  <c r="AE63"/>
  <c r="AE67"/>
  <c r="AE72"/>
  <c r="AE68"/>
  <c r="AE45"/>
  <c r="BO12"/>
  <c r="BP12" s="1"/>
  <c r="BO51"/>
  <c r="BP51" s="1"/>
  <c r="BG12"/>
  <c r="BJ12" s="1"/>
  <c r="BG51"/>
  <c r="BJ51" s="1"/>
  <c r="AF12"/>
  <c r="AG12" s="1"/>
  <c r="AF51"/>
  <c r="AG51" s="1"/>
  <c r="AD12"/>
  <c r="AD51"/>
  <c r="AC12"/>
  <c r="AC51"/>
  <c r="AB12"/>
  <c r="AB51"/>
  <c r="S12"/>
  <c r="S51"/>
  <c r="I12"/>
  <c r="I51"/>
  <c r="E12"/>
  <c r="E51"/>
  <c r="O12"/>
  <c r="Q12" s="1"/>
  <c r="O51"/>
  <c r="Q51" s="1"/>
  <c r="O58"/>
  <c r="O48"/>
  <c r="O37"/>
  <c r="O18"/>
  <c r="O11"/>
  <c r="E3"/>
  <c r="E6"/>
  <c r="E5"/>
  <c r="E13"/>
  <c r="E8"/>
  <c r="E11"/>
  <c r="E14"/>
  <c r="E17"/>
  <c r="E15"/>
  <c r="E18"/>
  <c r="E19"/>
  <c r="E16"/>
  <c r="E20"/>
  <c r="E21"/>
  <c r="E23"/>
  <c r="E22"/>
  <c r="E25"/>
  <c r="E24"/>
  <c r="E27"/>
  <c r="E29"/>
  <c r="E43"/>
  <c r="E28"/>
  <c r="E26"/>
  <c r="E31"/>
  <c r="E30"/>
  <c r="E32"/>
  <c r="E33"/>
  <c r="E34"/>
  <c r="E36"/>
  <c r="E35"/>
  <c r="E75"/>
  <c r="E37"/>
  <c r="E40"/>
  <c r="E38"/>
  <c r="E78"/>
  <c r="E41"/>
  <c r="E46"/>
  <c r="E47"/>
  <c r="E45"/>
  <c r="E49"/>
  <c r="E53"/>
  <c r="E50"/>
  <c r="E52"/>
  <c r="E54"/>
  <c r="E55"/>
  <c r="E48"/>
  <c r="E61"/>
  <c r="E58"/>
  <c r="E60"/>
  <c r="E63"/>
  <c r="E57"/>
  <c r="E59"/>
  <c r="E62"/>
  <c r="E56"/>
  <c r="E67"/>
  <c r="E72"/>
  <c r="E64"/>
  <c r="E68"/>
  <c r="E65"/>
  <c r="E66"/>
  <c r="E85"/>
  <c r="E69"/>
  <c r="E70"/>
  <c r="E71"/>
  <c r="E74"/>
  <c r="E76"/>
  <c r="E79"/>
  <c r="E80"/>
  <c r="E81"/>
  <c r="E82"/>
  <c r="E83"/>
  <c r="E84"/>
  <c r="E86"/>
  <c r="E87"/>
  <c r="E88"/>
  <c r="E4"/>
  <c r="O88"/>
  <c r="O79"/>
  <c r="O74"/>
  <c r="O70"/>
  <c r="O66"/>
  <c r="O52"/>
  <c r="O49"/>
  <c r="O40"/>
  <c r="O36"/>
  <c r="O19"/>
  <c r="O14"/>
  <c r="BO32"/>
  <c r="BP32" s="1"/>
  <c r="BO34"/>
  <c r="BP34" s="1"/>
  <c r="BO5"/>
  <c r="BP5" s="1"/>
  <c r="BO6"/>
  <c r="BP6" s="1"/>
  <c r="BO75"/>
  <c r="BP75" s="1"/>
  <c r="BO78"/>
  <c r="BP78" s="1"/>
  <c r="BG32"/>
  <c r="BJ32" s="1"/>
  <c r="BG34"/>
  <c r="BJ34" s="1"/>
  <c r="BG5"/>
  <c r="BJ5" s="1"/>
  <c r="BG6"/>
  <c r="BJ6" s="1"/>
  <c r="BG75"/>
  <c r="BJ75" s="1"/>
  <c r="BG78"/>
  <c r="BJ78" s="1"/>
  <c r="AF32"/>
  <c r="AG32" s="1"/>
  <c r="AF34"/>
  <c r="AG34" s="1"/>
  <c r="AF5"/>
  <c r="AG5" s="1"/>
  <c r="AF6"/>
  <c r="AG6" s="1"/>
  <c r="AF75"/>
  <c r="AG75" s="1"/>
  <c r="AF78"/>
  <c r="AG78" s="1"/>
  <c r="AD32"/>
  <c r="AD34"/>
  <c r="AD5"/>
  <c r="AD6"/>
  <c r="AD75"/>
  <c r="AD78"/>
  <c r="AC32"/>
  <c r="AC34"/>
  <c r="AC5"/>
  <c r="AC6"/>
  <c r="AC75"/>
  <c r="AC78"/>
  <c r="AB32"/>
  <c r="AB34"/>
  <c r="AB5"/>
  <c r="AB6"/>
  <c r="AB75"/>
  <c r="AB78"/>
  <c r="S32"/>
  <c r="S34"/>
  <c r="S5"/>
  <c r="S6"/>
  <c r="S75"/>
  <c r="S78"/>
  <c r="O6"/>
  <c r="Q6" s="1"/>
  <c r="R6" s="1"/>
  <c r="O5"/>
  <c r="Q5" s="1"/>
  <c r="R5" s="1"/>
  <c r="O34"/>
  <c r="Q34" s="1"/>
  <c r="O32"/>
  <c r="Q32" s="1"/>
  <c r="O75"/>
  <c r="Q75" s="1"/>
  <c r="O78"/>
  <c r="Q78" s="1"/>
  <c r="I32"/>
  <c r="I34"/>
  <c r="I5"/>
  <c r="I6"/>
  <c r="I75"/>
  <c r="I78"/>
  <c r="U10" l="1"/>
  <c r="R10"/>
  <c r="U39"/>
  <c r="P39" s="1"/>
  <c r="R39"/>
  <c r="U77"/>
  <c r="R77"/>
  <c r="U73"/>
  <c r="R73"/>
  <c r="U7"/>
  <c r="P7" s="1"/>
  <c r="R7"/>
  <c r="U42"/>
  <c r="R42"/>
  <c r="P77"/>
  <c r="P10"/>
  <c r="P42"/>
  <c r="P73"/>
  <c r="M73" s="1"/>
  <c r="U44"/>
  <c r="P44" s="1"/>
  <c r="R44"/>
  <c r="U9"/>
  <c r="P9" s="1"/>
  <c r="R9"/>
  <c r="U51"/>
  <c r="P51" s="1"/>
  <c r="R51"/>
  <c r="U12"/>
  <c r="P12" s="1"/>
  <c r="R12"/>
  <c r="R32"/>
  <c r="U32"/>
  <c r="P32" s="1"/>
  <c r="R78"/>
  <c r="U78"/>
  <c r="P78" s="1"/>
  <c r="R75"/>
  <c r="U75"/>
  <c r="P75" s="1"/>
  <c r="U34"/>
  <c r="R34"/>
  <c r="U5"/>
  <c r="P5" s="1"/>
  <c r="L5" s="1"/>
  <c r="U6"/>
  <c r="P6" s="1"/>
  <c r="L6" s="1"/>
  <c r="P34"/>
  <c r="I4"/>
  <c r="I3"/>
  <c r="I13"/>
  <c r="I11"/>
  <c r="I8"/>
  <c r="I14"/>
  <c r="I17"/>
  <c r="I15"/>
  <c r="I18"/>
  <c r="I16"/>
  <c r="I19"/>
  <c r="I20"/>
  <c r="I21"/>
  <c r="I23"/>
  <c r="I22"/>
  <c r="I25"/>
  <c r="I24"/>
  <c r="I27"/>
  <c r="I29"/>
  <c r="I43"/>
  <c r="I28"/>
  <c r="I26"/>
  <c r="I31"/>
  <c r="I30"/>
  <c r="I33"/>
  <c r="I35"/>
  <c r="I36"/>
  <c r="I37"/>
  <c r="I40"/>
  <c r="I38"/>
  <c r="I41"/>
  <c r="I46"/>
  <c r="I47"/>
  <c r="I45"/>
  <c r="I49"/>
  <c r="I53"/>
  <c r="I50"/>
  <c r="I52"/>
  <c r="I54"/>
  <c r="I55"/>
  <c r="I48"/>
  <c r="I61"/>
  <c r="I58"/>
  <c r="I60"/>
  <c r="I63"/>
  <c r="I57"/>
  <c r="I59"/>
  <c r="I62"/>
  <c r="I56"/>
  <c r="I67"/>
  <c r="I72"/>
  <c r="I64"/>
  <c r="I68"/>
  <c r="I65"/>
  <c r="I66"/>
  <c r="I85"/>
  <c r="I86"/>
  <c r="I69"/>
  <c r="I71"/>
  <c r="I70"/>
  <c r="I76"/>
  <c r="I74"/>
  <c r="I79"/>
  <c r="I80"/>
  <c r="I81"/>
  <c r="I82"/>
  <c r="I83"/>
  <c r="I84"/>
  <c r="I88"/>
  <c r="I87"/>
  <c r="S88"/>
  <c r="BO88"/>
  <c r="BP88" s="1"/>
  <c r="BG88"/>
  <c r="BJ88" s="1"/>
  <c r="AD88"/>
  <c r="AF88"/>
  <c r="AG88" s="1"/>
  <c r="Q88"/>
  <c r="U88" s="1"/>
  <c r="BO86"/>
  <c r="BP86" s="1"/>
  <c r="BG86"/>
  <c r="BJ86" s="1"/>
  <c r="BO69"/>
  <c r="BP69" s="1"/>
  <c r="BG69"/>
  <c r="BJ69" s="1"/>
  <c r="O69"/>
  <c r="Q69" s="1"/>
  <c r="O86"/>
  <c r="Q86" s="1"/>
  <c r="O83"/>
  <c r="Q83" s="1"/>
  <c r="O87"/>
  <c r="Q87" s="1"/>
  <c r="O41"/>
  <c r="Q41" s="1"/>
  <c r="O26"/>
  <c r="Q26" s="1"/>
  <c r="O43"/>
  <c r="Q43" s="1"/>
  <c r="O16"/>
  <c r="Q16" s="1"/>
  <c r="H42" l="1"/>
  <c r="L77"/>
  <c r="M39"/>
  <c r="M77"/>
  <c r="F42"/>
  <c r="H77"/>
  <c r="L39"/>
  <c r="K42"/>
  <c r="G42" s="1"/>
  <c r="M42"/>
  <c r="F77"/>
  <c r="H39"/>
  <c r="M10"/>
  <c r="L42"/>
  <c r="L73"/>
  <c r="K10"/>
  <c r="G10" s="1"/>
  <c r="H10"/>
  <c r="F10"/>
  <c r="F39"/>
  <c r="K39"/>
  <c r="J39" s="1"/>
  <c r="L10"/>
  <c r="K77"/>
  <c r="G77" s="1"/>
  <c r="F7"/>
  <c r="M7"/>
  <c r="F44"/>
  <c r="L7"/>
  <c r="K7"/>
  <c r="G7" s="1"/>
  <c r="H7"/>
  <c r="H73"/>
  <c r="K73"/>
  <c r="G73" s="1"/>
  <c r="F73"/>
  <c r="J10"/>
  <c r="J42"/>
  <c r="J73"/>
  <c r="L44"/>
  <c r="H44"/>
  <c r="L9"/>
  <c r="M9"/>
  <c r="K9"/>
  <c r="H9"/>
  <c r="F9"/>
  <c r="K44"/>
  <c r="G44" s="1"/>
  <c r="M44"/>
  <c r="H12"/>
  <c r="H51"/>
  <c r="H75"/>
  <c r="M12"/>
  <c r="L12"/>
  <c r="K12"/>
  <c r="F12"/>
  <c r="M51"/>
  <c r="L51"/>
  <c r="K51"/>
  <c r="F51"/>
  <c r="H78"/>
  <c r="H32"/>
  <c r="H34"/>
  <c r="L32"/>
  <c r="L75"/>
  <c r="L34"/>
  <c r="L78"/>
  <c r="F6"/>
  <c r="K6"/>
  <c r="M6"/>
  <c r="F5"/>
  <c r="K5"/>
  <c r="M5"/>
  <c r="F75"/>
  <c r="K75"/>
  <c r="M75"/>
  <c r="H5"/>
  <c r="F34"/>
  <c r="K34"/>
  <c r="M34"/>
  <c r="F78"/>
  <c r="K78"/>
  <c r="M78"/>
  <c r="F32"/>
  <c r="K32"/>
  <c r="M32"/>
  <c r="H6"/>
  <c r="P88"/>
  <c r="R88"/>
  <c r="S69"/>
  <c r="S86"/>
  <c r="R87"/>
  <c r="R41"/>
  <c r="R26"/>
  <c r="R83"/>
  <c r="R43"/>
  <c r="R16"/>
  <c r="R69"/>
  <c r="R86"/>
  <c r="U87"/>
  <c r="U41"/>
  <c r="U26"/>
  <c r="U83"/>
  <c r="U43"/>
  <c r="U16"/>
  <c r="U69"/>
  <c r="U86"/>
  <c r="AF69"/>
  <c r="AG69" s="1"/>
  <c r="AF87"/>
  <c r="AG87" s="1"/>
  <c r="AF41"/>
  <c r="AG41" s="1"/>
  <c r="AF26"/>
  <c r="AG26" s="1"/>
  <c r="AF83"/>
  <c r="AG83" s="1"/>
  <c r="AF43"/>
  <c r="AG43" s="1"/>
  <c r="AF16"/>
  <c r="AG16" s="1"/>
  <c r="AF86"/>
  <c r="AG86" s="1"/>
  <c r="AD87"/>
  <c r="AD41"/>
  <c r="AD26"/>
  <c r="AD83"/>
  <c r="AD43"/>
  <c r="AD16"/>
  <c r="AD69"/>
  <c r="AD86"/>
  <c r="AC87"/>
  <c r="AC41"/>
  <c r="AC26"/>
  <c r="AC83"/>
  <c r="AC43"/>
  <c r="AC16"/>
  <c r="AC69"/>
  <c r="AC86"/>
  <c r="AB87"/>
  <c r="AB41"/>
  <c r="AB26"/>
  <c r="AB83"/>
  <c r="AB43"/>
  <c r="AB16"/>
  <c r="AB69"/>
  <c r="AB86"/>
  <c r="BO16"/>
  <c r="BP16" s="1"/>
  <c r="BO43"/>
  <c r="BP43" s="1"/>
  <c r="BO83"/>
  <c r="BP83" s="1"/>
  <c r="BO26"/>
  <c r="BP26" s="1"/>
  <c r="BO41"/>
  <c r="BP41" s="1"/>
  <c r="BO87"/>
  <c r="BP87" s="1"/>
  <c r="S16"/>
  <c r="BG16"/>
  <c r="BJ16" s="1"/>
  <c r="S43"/>
  <c r="BG43"/>
  <c r="BJ43" s="1"/>
  <c r="S83"/>
  <c r="BG83"/>
  <c r="BJ83" s="1"/>
  <c r="S26"/>
  <c r="BG26"/>
  <c r="BJ26" s="1"/>
  <c r="S41"/>
  <c r="BG41"/>
  <c r="BJ41" s="1"/>
  <c r="S87"/>
  <c r="BG87"/>
  <c r="BJ87" s="1"/>
  <c r="AD66"/>
  <c r="AD74"/>
  <c r="AD36"/>
  <c r="AD49"/>
  <c r="AD14"/>
  <c r="AD19"/>
  <c r="AD45"/>
  <c r="AD65"/>
  <c r="AC66"/>
  <c r="AC74"/>
  <c r="AC36"/>
  <c r="AC49"/>
  <c r="AC14"/>
  <c r="AC19"/>
  <c r="AC45"/>
  <c r="AC65"/>
  <c r="AB66"/>
  <c r="AB74"/>
  <c r="AB36"/>
  <c r="AB49"/>
  <c r="AB14"/>
  <c r="AB19"/>
  <c r="AB45"/>
  <c r="AB65"/>
  <c r="J44" l="1"/>
  <c r="J7"/>
  <c r="G39"/>
  <c r="J77"/>
  <c r="J9"/>
  <c r="G9"/>
  <c r="J51"/>
  <c r="G51"/>
  <c r="J12"/>
  <c r="G12"/>
  <c r="G32"/>
  <c r="J32"/>
  <c r="G34"/>
  <c r="J34"/>
  <c r="G75"/>
  <c r="J75"/>
  <c r="G6"/>
  <c r="J6"/>
  <c r="G78"/>
  <c r="J78"/>
  <c r="G5"/>
  <c r="J5"/>
  <c r="F88"/>
  <c r="P87"/>
  <c r="M88"/>
  <c r="L88"/>
  <c r="H88"/>
  <c r="K88"/>
  <c r="P86"/>
  <c r="P69"/>
  <c r="M69" s="1"/>
  <c r="P43"/>
  <c r="P26"/>
  <c r="P16"/>
  <c r="P83"/>
  <c r="P41"/>
  <c r="O65"/>
  <c r="Q65" s="1"/>
  <c r="R65" s="1"/>
  <c r="O45"/>
  <c r="Q45" s="1"/>
  <c r="R45" s="1"/>
  <c r="BO65"/>
  <c r="BP65" s="1"/>
  <c r="BO45"/>
  <c r="BP45" s="1"/>
  <c r="BG65"/>
  <c r="BJ65" s="1"/>
  <c r="BG45"/>
  <c r="BJ45" s="1"/>
  <c r="AF65"/>
  <c r="AG65" s="1"/>
  <c r="AG45"/>
  <c r="S45"/>
  <c r="S65"/>
  <c r="Q14"/>
  <c r="Q19"/>
  <c r="U19" s="1"/>
  <c r="P19" s="1"/>
  <c r="BO19"/>
  <c r="BP19" s="1"/>
  <c r="BO14"/>
  <c r="BP14" s="1"/>
  <c r="S19"/>
  <c r="BG19"/>
  <c r="BJ19" s="1"/>
  <c r="S14"/>
  <c r="BG14"/>
  <c r="BJ14" s="1"/>
  <c r="AF19"/>
  <c r="AG19" s="1"/>
  <c r="AF14"/>
  <c r="AG14" s="1"/>
  <c r="Q36"/>
  <c r="R36" s="1"/>
  <c r="Q49"/>
  <c r="U49" s="1"/>
  <c r="P49" s="1"/>
  <c r="S36"/>
  <c r="S49"/>
  <c r="BG36"/>
  <c r="BJ36" s="1"/>
  <c r="BG49"/>
  <c r="BJ49" s="1"/>
  <c r="BO36"/>
  <c r="BP36" s="1"/>
  <c r="BO49"/>
  <c r="BP49" s="1"/>
  <c r="AF49"/>
  <c r="AG49" s="1"/>
  <c r="AF36"/>
  <c r="AG36" s="1"/>
  <c r="H83" l="1"/>
  <c r="F83"/>
  <c r="H26"/>
  <c r="F26"/>
  <c r="H69"/>
  <c r="F69"/>
  <c r="J88"/>
  <c r="G88"/>
  <c r="H87"/>
  <c r="F87"/>
  <c r="H41"/>
  <c r="F41"/>
  <c r="H16"/>
  <c r="F16"/>
  <c r="H43"/>
  <c r="F43"/>
  <c r="H86"/>
  <c r="F86"/>
  <c r="M86"/>
  <c r="L26"/>
  <c r="L16"/>
  <c r="L41"/>
  <c r="K69"/>
  <c r="K87"/>
  <c r="M43"/>
  <c r="U36"/>
  <c r="P36" s="1"/>
  <c r="L87"/>
  <c r="L43"/>
  <c r="K86"/>
  <c r="K43"/>
  <c r="M87"/>
  <c r="K83"/>
  <c r="L83"/>
  <c r="M83"/>
  <c r="L86"/>
  <c r="K26"/>
  <c r="M26"/>
  <c r="K41"/>
  <c r="K16"/>
  <c r="M41"/>
  <c r="M16"/>
  <c r="L69"/>
  <c r="R49"/>
  <c r="K49" s="1"/>
  <c r="U65"/>
  <c r="P65" s="1"/>
  <c r="U45"/>
  <c r="P45" s="1"/>
  <c r="U14"/>
  <c r="P14" s="1"/>
  <c r="R14"/>
  <c r="K36"/>
  <c r="R19"/>
  <c r="L19" s="1"/>
  <c r="BG74"/>
  <c r="BG66"/>
  <c r="BJ66" s="1"/>
  <c r="S74"/>
  <c r="S66"/>
  <c r="Q74"/>
  <c r="Q66"/>
  <c r="BO74"/>
  <c r="BP74" s="1"/>
  <c r="BO66"/>
  <c r="BP66" s="1"/>
  <c r="AF74"/>
  <c r="AG74" s="1"/>
  <c r="AF66"/>
  <c r="AG66" s="1"/>
  <c r="L45" l="1"/>
  <c r="F45"/>
  <c r="J49"/>
  <c r="G49"/>
  <c r="J16"/>
  <c r="G16"/>
  <c r="J86"/>
  <c r="G86"/>
  <c r="J69"/>
  <c r="G69"/>
  <c r="F49"/>
  <c r="J36"/>
  <c r="G36"/>
  <c r="M65"/>
  <c r="F65"/>
  <c r="J41"/>
  <c r="G41"/>
  <c r="J26"/>
  <c r="G26"/>
  <c r="J83"/>
  <c r="G83"/>
  <c r="J43"/>
  <c r="G43"/>
  <c r="H36"/>
  <c r="F36"/>
  <c r="J87"/>
  <c r="G87"/>
  <c r="F14"/>
  <c r="F19"/>
  <c r="M36"/>
  <c r="M49"/>
  <c r="H49"/>
  <c r="L36"/>
  <c r="L49"/>
  <c r="K45"/>
  <c r="K65"/>
  <c r="M45"/>
  <c r="H14"/>
  <c r="L65"/>
  <c r="H65"/>
  <c r="H45"/>
  <c r="H19"/>
  <c r="U66"/>
  <c r="P66" s="1"/>
  <c r="R66"/>
  <c r="U74"/>
  <c r="P74" s="1"/>
  <c r="R74"/>
  <c r="M19"/>
  <c r="K19"/>
  <c r="BJ74"/>
  <c r="M14"/>
  <c r="L14"/>
  <c r="K14"/>
  <c r="S35"/>
  <c r="S33"/>
  <c r="S30"/>
  <c r="S4"/>
  <c r="S3"/>
  <c r="S17"/>
  <c r="S56"/>
  <c r="S59"/>
  <c r="S46"/>
  <c r="S60"/>
  <c r="S15"/>
  <c r="S79"/>
  <c r="S70"/>
  <c r="S52"/>
  <c r="S40"/>
  <c r="S13"/>
  <c r="S8"/>
  <c r="S71"/>
  <c r="S84"/>
  <c r="S54"/>
  <c r="S53"/>
  <c r="S31"/>
  <c r="S28"/>
  <c r="S64"/>
  <c r="S85"/>
  <c r="S47"/>
  <c r="S50"/>
  <c r="S20"/>
  <c r="S21"/>
  <c r="S81"/>
  <c r="S82"/>
  <c r="S55"/>
  <c r="S68"/>
  <c r="S22"/>
  <c r="S24"/>
  <c r="S48"/>
  <c r="S57"/>
  <c r="S37"/>
  <c r="S58"/>
  <c r="S11"/>
  <c r="S18"/>
  <c r="S80"/>
  <c r="S76"/>
  <c r="S62"/>
  <c r="S67"/>
  <c r="S61"/>
  <c r="S63"/>
  <c r="S72"/>
  <c r="S27"/>
  <c r="S23"/>
  <c r="S25"/>
  <c r="S29"/>
  <c r="S38"/>
  <c r="O56"/>
  <c r="Q56" s="1"/>
  <c r="O59"/>
  <c r="Q59" s="1"/>
  <c r="O46"/>
  <c r="Q46" s="1"/>
  <c r="O60"/>
  <c r="Q60" s="1"/>
  <c r="O15"/>
  <c r="Q15" s="1"/>
  <c r="O17"/>
  <c r="Q17" s="1"/>
  <c r="Q70"/>
  <c r="Q52"/>
  <c r="Q40"/>
  <c r="Q13"/>
  <c r="Q8"/>
  <c r="Q79"/>
  <c r="O84"/>
  <c r="Q84" s="1"/>
  <c r="O54"/>
  <c r="Q54" s="1"/>
  <c r="O53"/>
  <c r="Q53" s="1"/>
  <c r="O31"/>
  <c r="Q31" s="1"/>
  <c r="O28"/>
  <c r="Q28" s="1"/>
  <c r="O71"/>
  <c r="Q71" s="1"/>
  <c r="O85"/>
  <c r="Q85" s="1"/>
  <c r="O47"/>
  <c r="Q47" s="1"/>
  <c r="O50"/>
  <c r="Q50" s="1"/>
  <c r="O20"/>
  <c r="Q20" s="1"/>
  <c r="O21"/>
  <c r="Q21" s="1"/>
  <c r="O64"/>
  <c r="Q64" s="1"/>
  <c r="O82"/>
  <c r="Q82" s="1"/>
  <c r="O55"/>
  <c r="Q55" s="1"/>
  <c r="O68"/>
  <c r="Q68" s="1"/>
  <c r="O22"/>
  <c r="Q22" s="1"/>
  <c r="O24"/>
  <c r="Q24" s="1"/>
  <c r="O81"/>
  <c r="Q81" s="1"/>
  <c r="O57"/>
  <c r="Q57" s="1"/>
  <c r="Q37"/>
  <c r="Q58"/>
  <c r="Q11"/>
  <c r="Q18"/>
  <c r="Q48"/>
  <c r="O76"/>
  <c r="Q76" s="1"/>
  <c r="O62"/>
  <c r="Q62" s="1"/>
  <c r="O67"/>
  <c r="Q67" s="1"/>
  <c r="O61"/>
  <c r="Q61" s="1"/>
  <c r="O63"/>
  <c r="Q63" s="1"/>
  <c r="O72"/>
  <c r="Q72" s="1"/>
  <c r="O27"/>
  <c r="Q27" s="1"/>
  <c r="O23"/>
  <c r="Q23" s="1"/>
  <c r="O25"/>
  <c r="Q25" s="1"/>
  <c r="O29"/>
  <c r="Q29" s="1"/>
  <c r="O80"/>
  <c r="Q80" s="1"/>
  <c r="O35"/>
  <c r="Q35" s="1"/>
  <c r="O33"/>
  <c r="Q33" s="1"/>
  <c r="U33" s="1"/>
  <c r="O30"/>
  <c r="Q30" s="1"/>
  <c r="O4"/>
  <c r="Q4" s="1"/>
  <c r="U4" s="1"/>
  <c r="O3"/>
  <c r="Q3" s="1"/>
  <c r="O38"/>
  <c r="Q38" s="1"/>
  <c r="BO35"/>
  <c r="BP35" s="1"/>
  <c r="BO33"/>
  <c r="BP33" s="1"/>
  <c r="BO30"/>
  <c r="BP30" s="1"/>
  <c r="BO4"/>
  <c r="BP4" s="1"/>
  <c r="BO3"/>
  <c r="BP3" s="1"/>
  <c r="BO17"/>
  <c r="BP17" s="1"/>
  <c r="BO56"/>
  <c r="BP56" s="1"/>
  <c r="BO59"/>
  <c r="BP59" s="1"/>
  <c r="BO46"/>
  <c r="BP46" s="1"/>
  <c r="BO60"/>
  <c r="BP60" s="1"/>
  <c r="BO15"/>
  <c r="BP15" s="1"/>
  <c r="BO79"/>
  <c r="BP79" s="1"/>
  <c r="BO70"/>
  <c r="BP70" s="1"/>
  <c r="BO52"/>
  <c r="BP52" s="1"/>
  <c r="BO40"/>
  <c r="BP40" s="1"/>
  <c r="BO13"/>
  <c r="BP13" s="1"/>
  <c r="BO8"/>
  <c r="BP8" s="1"/>
  <c r="BO71"/>
  <c r="BP71" s="1"/>
  <c r="BO84"/>
  <c r="BP84" s="1"/>
  <c r="BO54"/>
  <c r="BP54" s="1"/>
  <c r="BO53"/>
  <c r="BP53" s="1"/>
  <c r="BO31"/>
  <c r="BP31" s="1"/>
  <c r="BO28"/>
  <c r="BP28" s="1"/>
  <c r="BO64"/>
  <c r="BP64" s="1"/>
  <c r="BO85"/>
  <c r="BP85" s="1"/>
  <c r="BO47"/>
  <c r="BP47" s="1"/>
  <c r="BO50"/>
  <c r="BP50" s="1"/>
  <c r="BO20"/>
  <c r="BP20" s="1"/>
  <c r="BO21"/>
  <c r="BP21" s="1"/>
  <c r="BO81"/>
  <c r="BP81" s="1"/>
  <c r="BO82"/>
  <c r="BP82" s="1"/>
  <c r="BO55"/>
  <c r="BP55" s="1"/>
  <c r="BO68"/>
  <c r="BP68" s="1"/>
  <c r="BO22"/>
  <c r="BP22" s="1"/>
  <c r="BO24"/>
  <c r="BP24" s="1"/>
  <c r="BO48"/>
  <c r="BP48" s="1"/>
  <c r="BO57"/>
  <c r="BP57" s="1"/>
  <c r="BO37"/>
  <c r="BP37" s="1"/>
  <c r="BO58"/>
  <c r="BP58" s="1"/>
  <c r="BO11"/>
  <c r="BP11" s="1"/>
  <c r="BO18"/>
  <c r="BP18" s="1"/>
  <c r="BO80"/>
  <c r="BP80" s="1"/>
  <c r="BO76"/>
  <c r="BP76" s="1"/>
  <c r="BO62"/>
  <c r="BP62" s="1"/>
  <c r="BO67"/>
  <c r="BP67" s="1"/>
  <c r="BO61"/>
  <c r="BP61" s="1"/>
  <c r="BO63"/>
  <c r="BP63" s="1"/>
  <c r="BO72"/>
  <c r="BP72" s="1"/>
  <c r="BO27"/>
  <c r="BP27" s="1"/>
  <c r="BO23"/>
  <c r="BP23" s="1"/>
  <c r="BO25"/>
  <c r="BP25" s="1"/>
  <c r="BO29"/>
  <c r="BP29" s="1"/>
  <c r="BO38"/>
  <c r="BP38" s="1"/>
  <c r="AF38"/>
  <c r="AG38" s="1"/>
  <c r="AF35"/>
  <c r="AG35" s="1"/>
  <c r="AF33"/>
  <c r="AG33" s="1"/>
  <c r="AF30"/>
  <c r="AG30" s="1"/>
  <c r="AF4"/>
  <c r="AG4" s="1"/>
  <c r="AF3"/>
  <c r="AG3" s="1"/>
  <c r="AF17"/>
  <c r="AG17" s="1"/>
  <c r="AF56"/>
  <c r="AG56" s="1"/>
  <c r="AF59"/>
  <c r="AG59" s="1"/>
  <c r="AF46"/>
  <c r="AG46" s="1"/>
  <c r="AF60"/>
  <c r="AG60" s="1"/>
  <c r="AF15"/>
  <c r="AG15" s="1"/>
  <c r="AF79"/>
  <c r="AG79" s="1"/>
  <c r="AF70"/>
  <c r="AG70" s="1"/>
  <c r="AF52"/>
  <c r="AG52" s="1"/>
  <c r="AF40"/>
  <c r="AG40" s="1"/>
  <c r="AF48"/>
  <c r="AG48" s="1"/>
  <c r="AF57"/>
  <c r="AG57" s="1"/>
  <c r="AF37"/>
  <c r="AG37" s="1"/>
  <c r="AF58"/>
  <c r="AG58" s="1"/>
  <c r="AF11"/>
  <c r="AG11" s="1"/>
  <c r="AF18"/>
  <c r="AG18" s="1"/>
  <c r="AF80"/>
  <c r="AG80" s="1"/>
  <c r="AF76"/>
  <c r="AG76" s="1"/>
  <c r="AF62"/>
  <c r="AG62" s="1"/>
  <c r="AF67"/>
  <c r="AG67" s="1"/>
  <c r="AF61"/>
  <c r="AG61" s="1"/>
  <c r="AF63"/>
  <c r="AG63" s="1"/>
  <c r="AF72"/>
  <c r="AG72" s="1"/>
  <c r="AF27"/>
  <c r="AG27" s="1"/>
  <c r="AF23"/>
  <c r="AG23" s="1"/>
  <c r="AF25"/>
  <c r="AG25" s="1"/>
  <c r="AF29"/>
  <c r="AG29" s="1"/>
  <c r="AF24"/>
  <c r="AG24" s="1"/>
  <c r="AF22"/>
  <c r="AG22" s="1"/>
  <c r="AF68"/>
  <c r="AG68" s="1"/>
  <c r="AF55"/>
  <c r="AG55" s="1"/>
  <c r="AF81"/>
  <c r="AG81" s="1"/>
  <c r="AF82"/>
  <c r="AG82" s="1"/>
  <c r="AF47"/>
  <c r="AG47" s="1"/>
  <c r="AF50"/>
  <c r="AG50" s="1"/>
  <c r="AF20"/>
  <c r="AG20" s="1"/>
  <c r="AF21"/>
  <c r="AG21" s="1"/>
  <c r="AF64"/>
  <c r="AG64" s="1"/>
  <c r="AF85"/>
  <c r="AG85" s="1"/>
  <c r="AF54"/>
  <c r="AG54" s="1"/>
  <c r="AF53"/>
  <c r="AG53" s="1"/>
  <c r="AF31"/>
  <c r="AG31" s="1"/>
  <c r="AF28"/>
  <c r="AG28" s="1"/>
  <c r="AF71"/>
  <c r="AG71" s="1"/>
  <c r="AF84"/>
  <c r="AG84" s="1"/>
  <c r="AF8"/>
  <c r="AG8" s="1"/>
  <c r="AF13"/>
  <c r="AG13" s="1"/>
  <c r="AD33"/>
  <c r="AD30"/>
  <c r="AD4"/>
  <c r="AD3"/>
  <c r="AD17"/>
  <c r="AD56"/>
  <c r="AD59"/>
  <c r="AD46"/>
  <c r="AD60"/>
  <c r="AD15"/>
  <c r="AD79"/>
  <c r="AD70"/>
  <c r="AD52"/>
  <c r="AD40"/>
  <c r="AD13"/>
  <c r="AD8"/>
  <c r="AD71"/>
  <c r="AD84"/>
  <c r="AD54"/>
  <c r="AD53"/>
  <c r="AD31"/>
  <c r="AD28"/>
  <c r="AD64"/>
  <c r="AD85"/>
  <c r="AD47"/>
  <c r="AD50"/>
  <c r="AD20"/>
  <c r="AD21"/>
  <c r="AD81"/>
  <c r="AD82"/>
  <c r="AD55"/>
  <c r="AD68"/>
  <c r="AD22"/>
  <c r="AD24"/>
  <c r="AD48"/>
  <c r="AD57"/>
  <c r="AD37"/>
  <c r="AD58"/>
  <c r="AD11"/>
  <c r="AD18"/>
  <c r="AD80"/>
  <c r="AD76"/>
  <c r="AD62"/>
  <c r="AD67"/>
  <c r="AD61"/>
  <c r="AD63"/>
  <c r="AD72"/>
  <c r="AD27"/>
  <c r="AD23"/>
  <c r="AD25"/>
  <c r="AD29"/>
  <c r="AD35"/>
  <c r="AD38"/>
  <c r="AC30"/>
  <c r="AC4"/>
  <c r="AC3"/>
  <c r="AC17"/>
  <c r="AC56"/>
  <c r="AC59"/>
  <c r="AC46"/>
  <c r="AC60"/>
  <c r="AC15"/>
  <c r="AC79"/>
  <c r="AC70"/>
  <c r="AC52"/>
  <c r="AC40"/>
  <c r="AC13"/>
  <c r="AC8"/>
  <c r="AC71"/>
  <c r="AC84"/>
  <c r="AC54"/>
  <c r="AC53"/>
  <c r="AC31"/>
  <c r="AC28"/>
  <c r="AC64"/>
  <c r="AC85"/>
  <c r="AC47"/>
  <c r="AC50"/>
  <c r="AC20"/>
  <c r="AC21"/>
  <c r="AC81"/>
  <c r="AC82"/>
  <c r="AC55"/>
  <c r="AC68"/>
  <c r="AC22"/>
  <c r="AC24"/>
  <c r="AC48"/>
  <c r="AC57"/>
  <c r="AC37"/>
  <c r="AC58"/>
  <c r="AC11"/>
  <c r="AC18"/>
  <c r="AC80"/>
  <c r="AC76"/>
  <c r="AC62"/>
  <c r="AC67"/>
  <c r="AC61"/>
  <c r="AC63"/>
  <c r="AC72"/>
  <c r="AC27"/>
  <c r="AC23"/>
  <c r="AC25"/>
  <c r="AC29"/>
  <c r="AC35"/>
  <c r="AC33"/>
  <c r="AC38"/>
  <c r="AB17"/>
  <c r="AB56"/>
  <c r="AB59"/>
  <c r="AB46"/>
  <c r="AB60"/>
  <c r="AB15"/>
  <c r="AB79"/>
  <c r="AB70"/>
  <c r="AB52"/>
  <c r="AB40"/>
  <c r="AB13"/>
  <c r="AB8"/>
  <c r="AB71"/>
  <c r="AB84"/>
  <c r="AB54"/>
  <c r="AB53"/>
  <c r="AB31"/>
  <c r="AB28"/>
  <c r="AB64"/>
  <c r="AB85"/>
  <c r="AB47"/>
  <c r="AB50"/>
  <c r="AB20"/>
  <c r="AB21"/>
  <c r="AB81"/>
  <c r="AB82"/>
  <c r="AB55"/>
  <c r="AB68"/>
  <c r="AB22"/>
  <c r="AB24"/>
  <c r="AB48"/>
  <c r="AB57"/>
  <c r="AB37"/>
  <c r="AB58"/>
  <c r="AB11"/>
  <c r="AB18"/>
  <c r="AB80"/>
  <c r="AB76"/>
  <c r="AB62"/>
  <c r="AB67"/>
  <c r="AB61"/>
  <c r="AB63"/>
  <c r="AB72"/>
  <c r="AB27"/>
  <c r="AB23"/>
  <c r="AB25"/>
  <c r="AB29"/>
  <c r="AB3"/>
  <c r="AB4"/>
  <c r="AB35"/>
  <c r="AB33"/>
  <c r="AB30"/>
  <c r="AB38"/>
  <c r="J45" l="1"/>
  <c r="G45"/>
  <c r="F74"/>
  <c r="F66"/>
  <c r="J14"/>
  <c r="G14"/>
  <c r="J19"/>
  <c r="G19"/>
  <c r="J65"/>
  <c r="G65"/>
  <c r="H66"/>
  <c r="H74"/>
  <c r="P33"/>
  <c r="P4"/>
  <c r="M74"/>
  <c r="L74"/>
  <c r="K74"/>
  <c r="M66"/>
  <c r="L66"/>
  <c r="K66"/>
  <c r="U29"/>
  <c r="P29" s="1"/>
  <c r="R29"/>
  <c r="U23"/>
  <c r="P23" s="1"/>
  <c r="R23"/>
  <c r="U72"/>
  <c r="P72" s="1"/>
  <c r="R72"/>
  <c r="U61"/>
  <c r="P61" s="1"/>
  <c r="R61"/>
  <c r="U62"/>
  <c r="P62" s="1"/>
  <c r="R62"/>
  <c r="R3"/>
  <c r="U3"/>
  <c r="P3" s="1"/>
  <c r="R35"/>
  <c r="U35"/>
  <c r="P35" s="1"/>
  <c r="U11"/>
  <c r="P11" s="1"/>
  <c r="R11"/>
  <c r="U37"/>
  <c r="P37" s="1"/>
  <c r="R37"/>
  <c r="U22"/>
  <c r="P22" s="1"/>
  <c r="R22"/>
  <c r="U64"/>
  <c r="P64" s="1"/>
  <c r="R64"/>
  <c r="U20"/>
  <c r="P20" s="1"/>
  <c r="R20"/>
  <c r="U71"/>
  <c r="P71" s="1"/>
  <c r="R71"/>
  <c r="U31"/>
  <c r="P31" s="1"/>
  <c r="R31"/>
  <c r="U79"/>
  <c r="P79" s="1"/>
  <c r="R79"/>
  <c r="U13"/>
  <c r="P13" s="1"/>
  <c r="R13"/>
  <c r="U52"/>
  <c r="P52" s="1"/>
  <c r="R52"/>
  <c r="U17"/>
  <c r="P17" s="1"/>
  <c r="R17"/>
  <c r="U59"/>
  <c r="P59" s="1"/>
  <c r="R59"/>
  <c r="U80"/>
  <c r="P80" s="1"/>
  <c r="R80"/>
  <c r="U38"/>
  <c r="P38" s="1"/>
  <c r="R38"/>
  <c r="R25"/>
  <c r="U25"/>
  <c r="P25" s="1"/>
  <c r="R27"/>
  <c r="U27"/>
  <c r="P27" s="1"/>
  <c r="R63"/>
  <c r="U63"/>
  <c r="P63" s="1"/>
  <c r="R67"/>
  <c r="U67"/>
  <c r="P67" s="1"/>
  <c r="R76"/>
  <c r="U76"/>
  <c r="P76" s="1"/>
  <c r="R18"/>
  <c r="U18"/>
  <c r="P18" s="1"/>
  <c r="R58"/>
  <c r="U58"/>
  <c r="P58" s="1"/>
  <c r="R57"/>
  <c r="U57"/>
  <c r="P57" s="1"/>
  <c r="R24"/>
  <c r="U24"/>
  <c r="P24" s="1"/>
  <c r="R68"/>
  <c r="U68"/>
  <c r="P68" s="1"/>
  <c r="R82"/>
  <c r="U82"/>
  <c r="P82" s="1"/>
  <c r="R21"/>
  <c r="U21"/>
  <c r="P21" s="1"/>
  <c r="R50"/>
  <c r="U50"/>
  <c r="P50" s="1"/>
  <c r="R85"/>
  <c r="U85"/>
  <c r="P85" s="1"/>
  <c r="R28"/>
  <c r="U28"/>
  <c r="P28" s="1"/>
  <c r="R53"/>
  <c r="U53"/>
  <c r="P53" s="1"/>
  <c r="R84"/>
  <c r="U84"/>
  <c r="P84" s="1"/>
  <c r="R8"/>
  <c r="U8"/>
  <c r="P8" s="1"/>
  <c r="R40"/>
  <c r="U40"/>
  <c r="P40" s="1"/>
  <c r="R70"/>
  <c r="U70"/>
  <c r="P70" s="1"/>
  <c r="R15"/>
  <c r="U15"/>
  <c r="P15" s="1"/>
  <c r="R46"/>
  <c r="U46"/>
  <c r="P46" s="1"/>
  <c r="R56"/>
  <c r="U56"/>
  <c r="P56" s="1"/>
  <c r="R30"/>
  <c r="U30"/>
  <c r="P30" s="1"/>
  <c r="U48"/>
  <c r="P48" s="1"/>
  <c r="R48"/>
  <c r="U81"/>
  <c r="P81" s="1"/>
  <c r="R81"/>
  <c r="U55"/>
  <c r="P55" s="1"/>
  <c r="R55"/>
  <c r="U47"/>
  <c r="P47" s="1"/>
  <c r="R47"/>
  <c r="U54"/>
  <c r="P54" s="1"/>
  <c r="R54"/>
  <c r="U60"/>
  <c r="P60" s="1"/>
  <c r="R60"/>
  <c r="R4"/>
  <c r="R33"/>
  <c r="F30" l="1"/>
  <c r="F56"/>
  <c r="F46"/>
  <c r="F15"/>
  <c r="F70"/>
  <c r="F40"/>
  <c r="F8"/>
  <c r="F84"/>
  <c r="F53"/>
  <c r="F28"/>
  <c r="F85"/>
  <c r="F50"/>
  <c r="F21"/>
  <c r="F82"/>
  <c r="F68"/>
  <c r="F24"/>
  <c r="F57"/>
  <c r="F58"/>
  <c r="F18"/>
  <c r="F76"/>
  <c r="F67"/>
  <c r="F63"/>
  <c r="F27"/>
  <c r="F25"/>
  <c r="F35"/>
  <c r="F3"/>
  <c r="J74"/>
  <c r="G74"/>
  <c r="F60"/>
  <c r="F54"/>
  <c r="F47"/>
  <c r="F55"/>
  <c r="F81"/>
  <c r="F48"/>
  <c r="F38"/>
  <c r="F80"/>
  <c r="F59"/>
  <c r="F17"/>
  <c r="F52"/>
  <c r="F13"/>
  <c r="F79"/>
  <c r="F31"/>
  <c r="F71"/>
  <c r="F20"/>
  <c r="F64"/>
  <c r="F22"/>
  <c r="F37"/>
  <c r="F11"/>
  <c r="F62"/>
  <c r="F61"/>
  <c r="F72"/>
  <c r="F23"/>
  <c r="F29"/>
  <c r="F33"/>
  <c r="J66"/>
  <c r="G66"/>
  <c r="F4"/>
  <c r="K58"/>
  <c r="H4"/>
  <c r="H3"/>
  <c r="L60"/>
  <c r="L55"/>
  <c r="H59"/>
  <c r="H13"/>
  <c r="L71"/>
  <c r="L64"/>
  <c r="L11"/>
  <c r="L62"/>
  <c r="L72"/>
  <c r="L29"/>
  <c r="L35"/>
  <c r="L3"/>
  <c r="H35"/>
  <c r="M33"/>
  <c r="K33"/>
  <c r="M54"/>
  <c r="K54"/>
  <c r="M47"/>
  <c r="K47"/>
  <c r="M81"/>
  <c r="K81"/>
  <c r="M48"/>
  <c r="K48"/>
  <c r="M80"/>
  <c r="K80"/>
  <c r="M17"/>
  <c r="K17"/>
  <c r="M52"/>
  <c r="K52"/>
  <c r="M79"/>
  <c r="K79"/>
  <c r="M31"/>
  <c r="K31"/>
  <c r="M20"/>
  <c r="K20"/>
  <c r="M22"/>
  <c r="K22"/>
  <c r="M61"/>
  <c r="K61"/>
  <c r="M4"/>
  <c r="K4"/>
  <c r="M30"/>
  <c r="K30"/>
  <c r="M56"/>
  <c r="K56"/>
  <c r="M46"/>
  <c r="K46"/>
  <c r="M15"/>
  <c r="K15"/>
  <c r="M70"/>
  <c r="K70"/>
  <c r="M40"/>
  <c r="K40"/>
  <c r="M8"/>
  <c r="K8"/>
  <c r="M84"/>
  <c r="K84"/>
  <c r="M53"/>
  <c r="K53"/>
  <c r="M28"/>
  <c r="K28"/>
  <c r="M85"/>
  <c r="K85"/>
  <c r="M50"/>
  <c r="K50"/>
  <c r="M21"/>
  <c r="K21"/>
  <c r="M82"/>
  <c r="K82"/>
  <c r="M68"/>
  <c r="K68"/>
  <c r="M24"/>
  <c r="K24"/>
  <c r="M57"/>
  <c r="K57"/>
  <c r="M58"/>
  <c r="M18"/>
  <c r="K18"/>
  <c r="M76"/>
  <c r="K76"/>
  <c r="M67"/>
  <c r="K67"/>
  <c r="M63"/>
  <c r="K63"/>
  <c r="M27"/>
  <c r="K27"/>
  <c r="M25"/>
  <c r="K25"/>
  <c r="K38"/>
  <c r="M38"/>
  <c r="M35"/>
  <c r="K35"/>
  <c r="M3"/>
  <c r="K3"/>
  <c r="H79"/>
  <c r="H54"/>
  <c r="H64"/>
  <c r="H20"/>
  <c r="H55"/>
  <c r="H48"/>
  <c r="H11"/>
  <c r="H62"/>
  <c r="H72"/>
  <c r="H29"/>
  <c r="H30"/>
  <c r="H56"/>
  <c r="H15"/>
  <c r="H40"/>
  <c r="H84"/>
  <c r="H28"/>
  <c r="H50"/>
  <c r="H82"/>
  <c r="H24"/>
  <c r="H58"/>
  <c r="H76"/>
  <c r="H63"/>
  <c r="H25"/>
  <c r="L54"/>
  <c r="L30"/>
  <c r="L56"/>
  <c r="L15"/>
  <c r="L40"/>
  <c r="L84"/>
  <c r="L28"/>
  <c r="L50"/>
  <c r="L82"/>
  <c r="L24"/>
  <c r="L58"/>
  <c r="L76"/>
  <c r="L63"/>
  <c r="L25"/>
  <c r="L33"/>
  <c r="L17"/>
  <c r="L52"/>
  <c r="L20"/>
  <c r="L48"/>
  <c r="M60"/>
  <c r="K60"/>
  <c r="M55"/>
  <c r="K55"/>
  <c r="M59"/>
  <c r="K59"/>
  <c r="M13"/>
  <c r="K13"/>
  <c r="M71"/>
  <c r="K71"/>
  <c r="M64"/>
  <c r="K64"/>
  <c r="M37"/>
  <c r="K37"/>
  <c r="M11"/>
  <c r="K11"/>
  <c r="M62"/>
  <c r="K62"/>
  <c r="M72"/>
  <c r="K72"/>
  <c r="M23"/>
  <c r="K23"/>
  <c r="M29"/>
  <c r="K29"/>
  <c r="H33"/>
  <c r="H17"/>
  <c r="H60"/>
  <c r="H52"/>
  <c r="H71"/>
  <c r="H31"/>
  <c r="H47"/>
  <c r="H81"/>
  <c r="H22"/>
  <c r="H37"/>
  <c r="H80"/>
  <c r="H61"/>
  <c r="H23"/>
  <c r="H46"/>
  <c r="H70"/>
  <c r="H8"/>
  <c r="H53"/>
  <c r="H85"/>
  <c r="H21"/>
  <c r="H68"/>
  <c r="H57"/>
  <c r="H18"/>
  <c r="H67"/>
  <c r="H27"/>
  <c r="H38"/>
  <c r="L46"/>
  <c r="L70"/>
  <c r="L8"/>
  <c r="L53"/>
  <c r="L85"/>
  <c r="L21"/>
  <c r="L68"/>
  <c r="L57"/>
  <c r="L18"/>
  <c r="L67"/>
  <c r="L27"/>
  <c r="L38"/>
  <c r="L4"/>
  <c r="L59"/>
  <c r="L79"/>
  <c r="L13"/>
  <c r="L31"/>
  <c r="L47"/>
  <c r="L81"/>
  <c r="L22"/>
  <c r="L37"/>
  <c r="L80"/>
  <c r="L61"/>
  <c r="L23"/>
  <c r="BG25" l="1"/>
  <c r="BJ25" s="1"/>
  <c r="BG27"/>
  <c r="BJ27" s="1"/>
  <c r="BG29"/>
  <c r="BJ29" s="1"/>
  <c r="BG61"/>
  <c r="BJ61" s="1"/>
  <c r="BG62"/>
  <c r="BJ62" s="1"/>
  <c r="BG63"/>
  <c r="BJ63" s="1"/>
  <c r="BG67"/>
  <c r="BJ67" s="1"/>
  <c r="BG72"/>
  <c r="BJ72" s="1"/>
  <c r="BG76"/>
  <c r="BJ76" s="1"/>
  <c r="BG80"/>
  <c r="BJ80" s="1"/>
  <c r="BG11"/>
  <c r="BJ11" s="1"/>
  <c r="BG18"/>
  <c r="BJ18" s="1"/>
  <c r="BG37"/>
  <c r="BJ37" s="1"/>
  <c r="BG48"/>
  <c r="BJ48" s="1"/>
  <c r="BG58"/>
  <c r="BJ58" s="1"/>
  <c r="BG57"/>
  <c r="BJ57" s="1"/>
  <c r="BG22"/>
  <c r="J22" s="1"/>
  <c r="BG24"/>
  <c r="J24" s="1"/>
  <c r="BG55"/>
  <c r="BJ55" s="1"/>
  <c r="BG68"/>
  <c r="BJ68" s="1"/>
  <c r="BG81"/>
  <c r="BJ81" s="1"/>
  <c r="BG82"/>
  <c r="BJ82" s="1"/>
  <c r="BG20"/>
  <c r="BJ20" s="1"/>
  <c r="BG21"/>
  <c r="BJ21" s="1"/>
  <c r="BG47"/>
  <c r="BJ47" s="1"/>
  <c r="BG50"/>
  <c r="BJ50" s="1"/>
  <c r="BG64"/>
  <c r="BJ64" s="1"/>
  <c r="BG85"/>
  <c r="BJ85" s="1"/>
  <c r="BG28"/>
  <c r="BJ28" s="1"/>
  <c r="BG31"/>
  <c r="BJ31" s="1"/>
  <c r="BG53"/>
  <c r="BJ53" s="1"/>
  <c r="BG54"/>
  <c r="BJ54" s="1"/>
  <c r="BG71"/>
  <c r="BJ71" s="1"/>
  <c r="BG84"/>
  <c r="BJ84" s="1"/>
  <c r="BG8"/>
  <c r="BJ8" s="1"/>
  <c r="BG13"/>
  <c r="BJ13" s="1"/>
  <c r="BG40"/>
  <c r="J40" s="1"/>
  <c r="BG52"/>
  <c r="BJ52" s="1"/>
  <c r="BG70"/>
  <c r="BJ70" s="1"/>
  <c r="BG79"/>
  <c r="BJ79" s="1"/>
  <c r="BG15"/>
  <c r="J15" s="1"/>
  <c r="BG46"/>
  <c r="BJ46" s="1"/>
  <c r="BG59"/>
  <c r="BJ59" s="1"/>
  <c r="BG60"/>
  <c r="BJ60" s="1"/>
  <c r="BG56"/>
  <c r="BJ56" s="1"/>
  <c r="BG17"/>
  <c r="BJ17" s="1"/>
  <c r="BG3"/>
  <c r="BJ3" s="1"/>
  <c r="BG4"/>
  <c r="BJ4" s="1"/>
  <c r="BG30"/>
  <c r="J30" s="1"/>
  <c r="BG33"/>
  <c r="BJ33" s="1"/>
  <c r="BG35"/>
  <c r="BJ35" s="1"/>
  <c r="BG38"/>
  <c r="J38" s="1"/>
  <c r="BG23"/>
  <c r="J23" s="1"/>
  <c r="G61" l="1"/>
  <c r="G33"/>
  <c r="G68"/>
  <c r="G27"/>
  <c r="G17"/>
  <c r="G85"/>
  <c r="G18"/>
  <c r="G60"/>
  <c r="G48"/>
  <c r="G79"/>
  <c r="G46"/>
  <c r="G21"/>
  <c r="G57"/>
  <c r="G67"/>
  <c r="G59"/>
  <c r="G37"/>
  <c r="G62"/>
  <c r="G23"/>
  <c r="G47"/>
  <c r="G20"/>
  <c r="G30"/>
  <c r="G70"/>
  <c r="G8"/>
  <c r="G53"/>
  <c r="G58"/>
  <c r="G76"/>
  <c r="G63"/>
  <c r="G25"/>
  <c r="G3"/>
  <c r="G55"/>
  <c r="G13"/>
  <c r="G64"/>
  <c r="G11"/>
  <c r="G72"/>
  <c r="G29"/>
  <c r="G54"/>
  <c r="G81"/>
  <c r="G80"/>
  <c r="G52"/>
  <c r="G31"/>
  <c r="G22"/>
  <c r="G4"/>
  <c r="G56"/>
  <c r="G15"/>
  <c r="G40"/>
  <c r="G84"/>
  <c r="G28"/>
  <c r="G50"/>
  <c r="G82"/>
  <c r="G24"/>
  <c r="G38"/>
  <c r="G35"/>
  <c r="G71"/>
  <c r="J61"/>
  <c r="J58"/>
  <c r="J18"/>
  <c r="J21"/>
  <c r="J54"/>
  <c r="J68"/>
  <c r="J17"/>
  <c r="J50"/>
  <c r="J60"/>
  <c r="J31"/>
  <c r="J80"/>
  <c r="J47"/>
  <c r="J70"/>
  <c r="J33"/>
  <c r="J79"/>
  <c r="J46"/>
  <c r="J85"/>
  <c r="J27"/>
  <c r="J55"/>
  <c r="J81"/>
  <c r="J82"/>
  <c r="J13"/>
  <c r="J67"/>
  <c r="J53"/>
  <c r="J62"/>
  <c r="J25"/>
  <c r="J35"/>
  <c r="J37"/>
  <c r="J48"/>
  <c r="J8"/>
  <c r="J57"/>
  <c r="J71"/>
  <c r="J76"/>
  <c r="J72"/>
  <c r="J52"/>
  <c r="J56"/>
  <c r="J28"/>
  <c r="J63"/>
  <c r="J29"/>
  <c r="J59"/>
  <c r="J20"/>
  <c r="J64"/>
  <c r="J4"/>
  <c r="J84"/>
  <c r="J11"/>
  <c r="J3"/>
  <c r="BJ22"/>
  <c r="BJ38"/>
  <c r="BJ23"/>
  <c r="BJ15"/>
  <c r="BJ24"/>
  <c r="BJ40"/>
  <c r="BJ30"/>
</calcChain>
</file>

<file path=xl/comments1.xml><?xml version="1.0" encoding="utf-8"?>
<comments xmlns="http://schemas.openxmlformats.org/spreadsheetml/2006/main">
  <authors>
    <author>Автор</author>
  </authors>
  <commentLis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EAC: для расчета срока окупаемости прибыль на операции выпечки принята 3 рубля, вы можете подставить свое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<sst xmlns="http://schemas.openxmlformats.org/spreadsheetml/2006/main" count="1136" uniqueCount="397">
  <si>
    <t>Тип печи</t>
  </si>
  <si>
    <t>202Г</t>
  </si>
  <si>
    <t>Расход воды за один цикл пароувлажнения, л/час</t>
  </si>
  <si>
    <t>Номинальная тепловая мощность, кВт</t>
  </si>
  <si>
    <t>Используемая горелка</t>
  </si>
  <si>
    <t>GULLIVER BS2,
N=35-91 кВт</t>
  </si>
  <si>
    <t>Диапазон рабочих температур</t>
  </si>
  <si>
    <t>Габаритные размеры, мм</t>
  </si>
  <si>
    <t>Масса печи, кг</t>
  </si>
  <si>
    <t>Используемые тележки</t>
  </si>
  <si>
    <t>ТХ201</t>
  </si>
  <si>
    <t>Возможное количество ярусов</t>
  </si>
  <si>
    <t>Вместимость стеллажных тележек, шт.</t>
  </si>
  <si>
    <t>Размер подового листа, мм</t>
  </si>
  <si>
    <t>Количество программ</t>
  </si>
  <si>
    <t>Площадь выпечки, кв.м (18 ярусов)</t>
  </si>
  <si>
    <t>600х800</t>
  </si>
  <si>
    <t>9; 10; 12; 14; 15; 16; 17; 18; 20; 22; 24; 26;28.</t>
  </si>
  <si>
    <t>60-300С°</t>
  </si>
  <si>
    <t>Время выхода на рабочий режим до 270°С, мин</t>
  </si>
  <si>
    <t>ТвЗПО
(Тверь)</t>
  </si>
  <si>
    <t>Восход
(Саратов)</t>
  </si>
  <si>
    <t>ELCO</t>
  </si>
  <si>
    <t>13,14,15,16,
18,20,22,24</t>
  </si>
  <si>
    <t>Forni
Fiorini
(Италия)</t>
  </si>
  <si>
    <t>ROTOR 
Forni
Fiorini G</t>
  </si>
  <si>
    <t>-</t>
  </si>
  <si>
    <t>2-х скоростной</t>
  </si>
  <si>
    <t>Качество ключевых комплектующих</t>
  </si>
  <si>
    <t>Средний расход природного газа, м³/час</t>
  </si>
  <si>
    <t>Miwe (Германия)</t>
  </si>
  <si>
    <t>Цифровая (FP10)- или Touch Control TC</t>
  </si>
  <si>
    <t>50 - 60</t>
  </si>
  <si>
    <t>Панель управления</t>
  </si>
  <si>
    <t>Revent (Швеция) </t>
  </si>
  <si>
    <t>Муссон-Ротор 99МР-01</t>
  </si>
  <si>
    <t>600х900</t>
  </si>
  <si>
    <t xml:space="preserve"> ТС-2</t>
  </si>
  <si>
    <t>STM Италия</t>
  </si>
  <si>
    <t>Эл. двигатель теплового вентилятора</t>
  </si>
  <si>
    <t>Италия</t>
  </si>
  <si>
    <t>Вытяжной вентилятор</t>
  </si>
  <si>
    <t>Мотор-редуктор поворотного стола</t>
  </si>
  <si>
    <t>Узел поворота стола на высокотемпературостойких подшипниках</t>
  </si>
  <si>
    <t>Электрокомпоненты лучших европейских производителей</t>
  </si>
  <si>
    <t>Быстрый выход на режимы при перенастройки на другой продукт</t>
  </si>
  <si>
    <t>50-270Сº</t>
  </si>
  <si>
    <t>«RIELLO GULLIVER» BS2D производство Италия</t>
  </si>
  <si>
    <t xml:space="preserve">roll-in e+, модель RI-1.0608TL </t>
  </si>
  <si>
    <t>Модель 725</t>
  </si>
  <si>
    <t>2499х1614х2080</t>
  </si>
  <si>
    <t>Производительность, штук за 1 выпечку:</t>
  </si>
  <si>
    <t>1900х2840х2480</t>
  </si>
  <si>
    <t xml:space="preserve">Китай </t>
  </si>
  <si>
    <t>302Г</t>
  </si>
  <si>
    <t>―</t>
  </si>
  <si>
    <t>60-300Сº</t>
  </si>
  <si>
    <t>ТХ301</t>
  </si>
  <si>
    <t>15,18,20,
22,24,26</t>
  </si>
  <si>
    <t>600х1100</t>
  </si>
  <si>
    <t xml:space="preserve"> 100-300Сº</t>
  </si>
  <si>
    <t>202Э</t>
  </si>
  <si>
    <t>Муссон-Ротор 99МР-02</t>
  </si>
  <si>
    <t>ТЭНР 201 В13/4,0-Т-220 R30 со шпилькой М8</t>
  </si>
  <si>
    <t>600х810</t>
  </si>
  <si>
    <t xml:space="preserve"> ТС-8</t>
  </si>
  <si>
    <t>ROTOR 
Forni
Fiorini E</t>
  </si>
  <si>
    <t>302Э</t>
  </si>
  <si>
    <t>ПВТ-2Э</t>
  </si>
  <si>
    <t>Модель 725 EL</t>
  </si>
  <si>
    <t>roll-in e+, модель RI1.0608TL</t>
  </si>
  <si>
    <t>Используемые ТЭНы</t>
  </si>
  <si>
    <t>660х700</t>
  </si>
  <si>
    <t>30-290Сº</t>
  </si>
  <si>
    <t>202Д</t>
  </si>
  <si>
    <t xml:space="preserve">ROTOR 
Forni
Fiorini </t>
  </si>
  <si>
    <t>GULLIVER  RG2, N=47-119 кВт</t>
  </si>
  <si>
    <t xml:space="preserve"> 2150х2028х
2639</t>
  </si>
  <si>
    <t>600х1000</t>
  </si>
  <si>
    <t>Средний расход жидкого топлива, кг/час</t>
  </si>
  <si>
    <t>2030х1430х
2610</t>
  </si>
  <si>
    <t>Maxi Rotor</t>
  </si>
  <si>
    <t>800х1000</t>
  </si>
  <si>
    <t>1710х2200х2390</t>
  </si>
  <si>
    <t>64,04/80</t>
  </si>
  <si>
    <t xml:space="preserve"> ROLL-IN RI1.0711TL</t>
  </si>
  <si>
    <t>1810х1700х2560</t>
  </si>
  <si>
    <t>670/1080</t>
  </si>
  <si>
    <t>85/100</t>
  </si>
  <si>
    <t>ПВТ-3ГД</t>
  </si>
  <si>
    <t>590х900</t>
  </si>
  <si>
    <t>2985х2100х2460</t>
  </si>
  <si>
    <t>Модель 724</t>
  </si>
  <si>
    <t>750х1000</t>
  </si>
  <si>
    <t>50-300Сº</t>
  </si>
  <si>
    <t>2038х2280х2499</t>
  </si>
  <si>
    <t>ПВТ-3Э</t>
  </si>
  <si>
    <t xml:space="preserve"> 600х1000</t>
  </si>
  <si>
    <t xml:space="preserve">2150х2028х2639
</t>
  </si>
  <si>
    <t>Муссон-Ротор 99/11-01</t>
  </si>
  <si>
    <t xml:space="preserve"> 250 МР
Супер</t>
  </si>
  <si>
    <t>MAXI ROTOR</t>
  </si>
  <si>
    <t>roll-in e+,  RI-1.0610TL</t>
  </si>
  <si>
    <t xml:space="preserve">Модель 724 </t>
  </si>
  <si>
    <t xml:space="preserve">2000х2620х2972
</t>
  </si>
  <si>
    <t xml:space="preserve"> ТС-4</t>
  </si>
  <si>
    <t xml:space="preserve"> 750х1100</t>
  </si>
  <si>
    <t>2400х1700х2600</t>
  </si>
  <si>
    <t>600/1000</t>
  </si>
  <si>
    <t xml:space="preserve">1945х2580х2605
</t>
  </si>
  <si>
    <t>1945х2580х2605</t>
  </si>
  <si>
    <t>2150х2028х2639</t>
  </si>
  <si>
    <t>Сборно-разборная, модульная конструкция, установка печи в любом помещение со стандартными дверными проемами</t>
  </si>
  <si>
    <t>Режим работы, уменьшение времени выпечки и разогрев печи</t>
  </si>
  <si>
    <t>Дополнительный канал обдува парогенератора</t>
  </si>
  <si>
    <t>Возможность комплектации печей эргономичным пультом управления</t>
  </si>
  <si>
    <t>High Tech</t>
  </si>
  <si>
    <t>Schneider, Legrand, Allen Bradley</t>
  </si>
  <si>
    <t>Нержавеющее исполнение пекарной камеры, воздушного тракта, шиберных заслонок, двери и лицевой части печи</t>
  </si>
  <si>
    <t>1600х1920х2380</t>
  </si>
  <si>
    <t>Riello FS10 46-93</t>
  </si>
  <si>
    <t>11,12,13,14,15</t>
  </si>
  <si>
    <t>Riello FS10 46-116</t>
  </si>
  <si>
    <t>1660х2210х2600</t>
  </si>
  <si>
    <t>11,12,13,14,15,16,17,18</t>
  </si>
  <si>
    <t>FD-100</t>
  </si>
  <si>
    <t>FD-150</t>
  </si>
  <si>
    <t>FD-100E</t>
  </si>
  <si>
    <t>FD-150E</t>
  </si>
  <si>
    <t>280-300С°</t>
  </si>
  <si>
    <t>CRV (Турция)</t>
  </si>
  <si>
    <t>2100х2650х2600</t>
  </si>
  <si>
    <t>Riello FS20 81-220</t>
  </si>
  <si>
    <t>FD-200E</t>
  </si>
  <si>
    <t>FD-200 BRICK</t>
  </si>
  <si>
    <t>FD-200 EFF</t>
  </si>
  <si>
    <t>Качество по отзывам</t>
  </si>
  <si>
    <t>Рейтинг по популярности, %</t>
  </si>
  <si>
    <t>Lider 140 G</t>
  </si>
  <si>
    <t>1405*2260*2455</t>
  </si>
  <si>
    <t>300Сº</t>
  </si>
  <si>
    <t>Kumkaya (Турция)</t>
  </si>
  <si>
    <t>14,15,16</t>
  </si>
  <si>
    <t>7,68 - 6,72</t>
  </si>
  <si>
    <t>Lider 140 E</t>
  </si>
  <si>
    <t>Lider 140 D</t>
  </si>
  <si>
    <t>670x1080</t>
  </si>
  <si>
    <t>Lider 250 G</t>
  </si>
  <si>
    <t>15,16,17</t>
  </si>
  <si>
    <t>1750*2330*2700</t>
  </si>
  <si>
    <t>12,32 - 10,8</t>
  </si>
  <si>
    <t>Lider 250 E</t>
  </si>
  <si>
    <t>Lider 250 D</t>
  </si>
  <si>
    <t>Объем куб метров</t>
  </si>
  <si>
    <t>Возможное количество ярусов до</t>
  </si>
  <si>
    <t>Цена, руб. на 10.08.2015г. Прайс</t>
  </si>
  <si>
    <t>Показатель качества</t>
  </si>
  <si>
    <t>Итого кВт в год 12 часов ежедневно</t>
  </si>
  <si>
    <t>2090*2023*2465</t>
  </si>
  <si>
    <t>1720*2580*2605</t>
  </si>
  <si>
    <t>1430*2030*2610</t>
  </si>
  <si>
    <t>1550*2150*2652</t>
  </si>
  <si>
    <t>1900*2840*2480</t>
  </si>
  <si>
    <t>1660*2210*2600</t>
  </si>
  <si>
    <t>60 - 300Сº</t>
  </si>
  <si>
    <t>Потребление природного газа, руб. (издержки за 1 год при 12-часовых сменах)</t>
  </si>
  <si>
    <t>Потребление воды, руб.  (издержки за 1 год при 12-часовых сменах)</t>
  </si>
  <si>
    <t>Коэффициент  рентабельности =  Условная прибыль * К качества/ Затраты все</t>
  </si>
  <si>
    <t>% за активы 18% годовых ( Цена денег, инвестиций, кредита)</t>
  </si>
  <si>
    <t>Германия</t>
  </si>
  <si>
    <t>Гернмания</t>
  </si>
  <si>
    <t>Цифровая</t>
  </si>
  <si>
    <t>Потребление электроэнергии, руб.  (издержки за 1 год при 12-часовых сменах)</t>
  </si>
  <si>
    <t>2023*2090*2465</t>
  </si>
  <si>
    <t>2030*1430*2610</t>
  </si>
  <si>
    <t>1550*1450*2560</t>
  </si>
  <si>
    <t>2500*1604*2480</t>
  </si>
  <si>
    <t>1614*2080*2499</t>
  </si>
  <si>
    <t>1500*1700*2380</t>
  </si>
  <si>
    <t>Потребление  жидкого топлива, руб.  (издержки за 1 год при 12-часовых сменах)</t>
  </si>
  <si>
    <t>1550х2450х
2330</t>
  </si>
  <si>
    <t>15,18,20,
22,24,26,28</t>
  </si>
  <si>
    <t>Коэффициент  рентабельности =  Условная прибыль / Затраты все</t>
  </si>
  <si>
    <t>Качество</t>
  </si>
  <si>
    <t>Тариф Вода, л</t>
  </si>
  <si>
    <t>Тариф электроэнергии, кВт</t>
  </si>
  <si>
    <t>Тариф газ, м³</t>
  </si>
  <si>
    <t>Тариф жидкое топливо, л</t>
  </si>
  <si>
    <t>http://tverzpo.ru/конкурентные-преимущества/обзоры-технических-характеристик/ротор-агро-202-302/</t>
  </si>
  <si>
    <t>http://voskhod-saratov.ru/rus/catalog/pech_rotacionnaya_musson-rotor_99M/</t>
  </si>
  <si>
    <t>http://www.fornifiorini.com/eng/prodotto.php?id_new=8&amp;id_cat=1</t>
  </si>
  <si>
    <t>http://www.miwe.de/product_baking_miwe_roll_in_eplus_ti_ru,24154.html</t>
  </si>
  <si>
    <t>http://eu-mach.ru/store/173948/pechi_irtysh/</t>
  </si>
  <si>
    <t>http://www.reventrus.ru/?r=725</t>
  </si>
  <si>
    <t>http://www.crv-bakery.ru/catalog/rotatsionnye/3898/</t>
  </si>
  <si>
    <t>http://кумкайя.рф/oborudovanie_dlya_vyipechki/rotatsionnyie_pechi/lider140_rotatsionnaya_pech.html</t>
  </si>
  <si>
    <t>http://www.whitegoods.ru/goods/48477.htm</t>
  </si>
  <si>
    <t>http://www.borodinsky.ru/hlebopekarnoe-oborudovanie/pechi/32-pech-rotacionnaya-musson-rotor-99.html</t>
  </si>
  <si>
    <t>http://www.klenmarket.ru/shop/equipment/bakery-and-confectionery-equipment/rotary-ovens/microwave-rotary-forni-fiorini-rotor-platform/</t>
  </si>
  <si>
    <t>http://ipelican.com/ru/81039</t>
  </si>
  <si>
    <t>http://www.rproject.ru/upload/instruction/5008_demo.pdf</t>
  </si>
  <si>
    <t>http://www.t-d.ru/catalog/item/4732/</t>
  </si>
  <si>
    <t>ПВТ-2Г</t>
  </si>
  <si>
    <t>ПВТ-2Д</t>
  </si>
  <si>
    <t>http://www.fortorg.ru/tekhnologicheskoe-oborudovanie/teplovoe/pechi/rotatsionnye/irtysh/seriya-pvt/103762.html</t>
  </si>
  <si>
    <t>http://ipelican.com/ru/106719</t>
  </si>
  <si>
    <t>http://ipelican.com/ru/178403</t>
  </si>
  <si>
    <t>Модель  GAS 725</t>
  </si>
  <si>
    <t>http://www.rproject.ru/equipment/revent/</t>
  </si>
  <si>
    <t>http://ipelican.com/ru/246410</t>
  </si>
  <si>
    <t>http://nsuh.ru/content/rotacionnye-pechi-crv-fd-100</t>
  </si>
  <si>
    <t>http://ipelican.com/ru/246411</t>
  </si>
  <si>
    <t>http://palerom.ru/catalog/rubric/khlebopekarnoe-i-konditerskoe-oborudovanie-dlja-restoranov-i-magazinov/khlebopekarnye-pechi/rotatsionnye-pechi/pechi-crv-turtsija/pech_fd_150_gazovaya/</t>
  </si>
  <si>
    <t>http://www.oborud.info/product/jump.php?23122&amp;c=845</t>
  </si>
  <si>
    <t>http://кумкая.рф/katalog/kom/lidia.pdf</t>
  </si>
  <si>
    <t>Иртыш (Омск)</t>
  </si>
  <si>
    <t>Источники информации</t>
  </si>
  <si>
    <t>Источник 1</t>
  </si>
  <si>
    <t>Источник 2</t>
  </si>
  <si>
    <t>Источник 3</t>
  </si>
  <si>
    <t>1650х1850х2600</t>
  </si>
  <si>
    <t xml:space="preserve"> 50-300Сº</t>
  </si>
  <si>
    <t xml:space="preserve"> roll-in e+, RI-1.0608TL </t>
  </si>
  <si>
    <t>Дизельная ротационная печь хлебопекарная</t>
  </si>
  <si>
    <t>roll-in e+, RI1.0608TL</t>
  </si>
  <si>
    <t xml:space="preserve">roll-in e+, RI-1.0608TL </t>
  </si>
  <si>
    <t>http://voskhod-saratov.ru/rus/catalog/224/</t>
  </si>
  <si>
    <t>http://ariadaholod.ru/katalog/tehnologicheskoe-oborudovanie-obschepit/zavod-voshod-gsaratov/pechi/pech-rotatsionnaya-musson-rotor-model-99mr-01-99mr-02.html</t>
  </si>
  <si>
    <t>http://www.whitegoods.ru/goods/31811.htm?8(800)775-56-00&amp;ref=ipelican</t>
  </si>
  <si>
    <t>http://www.entero.ru/item/31980</t>
  </si>
  <si>
    <t>http://ipelican.com/ru/81034</t>
  </si>
  <si>
    <t>http://www.miwe.de/product_baking_miwe_roll_in_eplus_ru,24153.html</t>
  </si>
  <si>
    <t>http://www.irtysh.com.ru/catalog/bread-equipment/27.html</t>
  </si>
  <si>
    <t>http://reventdv.ru/?p=catalog&amp;sp=rotary-oven</t>
  </si>
  <si>
    <t>http://tehnika-ua.com/index.php?route=product/product&amp;product_id=7190</t>
  </si>
  <si>
    <t>Модель печи</t>
  </si>
  <si>
    <t>http://www.crv-bakery.ru/catalog/rotatsionnye/4717/</t>
  </si>
  <si>
    <t>http://www.crv-bakery.ru/catalog/rotatsionnye/4718/</t>
  </si>
  <si>
    <t>Производитель</t>
  </si>
  <si>
    <t>Восход
(Россия, Саратов)</t>
  </si>
  <si>
    <t>Иртыш (Россия, Омск)</t>
  </si>
  <si>
    <t>ТвЗПО
(Россия, Тверь)</t>
  </si>
  <si>
    <t xml:space="preserve"> батон 0,3 кг</t>
  </si>
  <si>
    <t>мелкоштучные изделия 0,15 кг</t>
  </si>
  <si>
    <t>Газовая ротационная печь хлебопекарная</t>
  </si>
  <si>
    <t>Электрическая ротационная печь хлебопекарная</t>
  </si>
  <si>
    <t>Процент затрат на ремонт и простои</t>
  </si>
  <si>
    <t>302Д</t>
  </si>
  <si>
    <t>Муссон-Ротор 77М</t>
  </si>
  <si>
    <t>Муссон-Ротор 55</t>
  </si>
  <si>
    <t>http://voskhod-saratov.ru/rus/catalog/pech_rotacionnaya_musson-rotor_55/</t>
  </si>
  <si>
    <t>http://voskhod-saratov.ru/rus/catalog/pech_rotacionnaya_musson-rotor_77M/</t>
  </si>
  <si>
    <t>Энергоносители в час</t>
  </si>
  <si>
    <t>Энергоносители в год</t>
  </si>
  <si>
    <t>Тарифы</t>
  </si>
  <si>
    <t>Номинальная потребляемая электрическая мощность, кВт/час</t>
  </si>
  <si>
    <t>Массогабаритные характеристики</t>
  </si>
  <si>
    <t>Массогабаритные характеристики печи</t>
  </si>
  <si>
    <t>Технические характеристики</t>
  </si>
  <si>
    <t>Преимущество</t>
  </si>
  <si>
    <t>http://www.crv-bakery.ru/catalog/pechi/rotacionnye/crv/</t>
  </si>
  <si>
    <t>http://www.reventrus.ru/?r=724</t>
  </si>
  <si>
    <t>http://voskhod-saratov.ru/rus/catalog/pech_rotacionnaya_musson-rotor_250/</t>
  </si>
  <si>
    <t>http://voskhod-saratov.ru/rus/catalog/pech_rotacionnaya_musson-rotor_99_11-01/</t>
  </si>
  <si>
    <t>http://www.irtysh.com.ru/catalog/bread-equipment/28.html</t>
  </si>
  <si>
    <t>http://кумкайя.рф/oborudovanie_dlya_vyipechki/rotatsionnyie_pechi/lider250_rotatsionnaya_pech.html</t>
  </si>
  <si>
    <t>http://www.fornifiorini.com/eng/prodotto.php?id_new=37&amp;id_cat=1</t>
  </si>
  <si>
    <t>http://ipelican.com/ru/246412</t>
  </si>
  <si>
    <t>http://nsuh.ru/content/pech-rotacionnaya-elektrich-crv-fd-150</t>
  </si>
  <si>
    <t>http://palerom.ru/catalog/rubric/khlebopekarnoe-i-konditerskoe-oborudovanie-dlja-restoranov-i-magazinov/khlebopekarnye-pechi/rotatsionnye-pechi/pechi-crv-turtsija/pech_fd200_gazovaya/</t>
  </si>
  <si>
    <t>http://palerom.ru/catalog/rubric/khlebopekarnoe-i-konditerskoe-oborudovanie-dlja-restoranov-i-magazinov/khlebopekarnye-pechi/rotatsionnye-pechi/pechi-kumkajj-turtsija/pech_lider_250/</t>
  </si>
  <si>
    <t>http://ipelican.com/ru/81040</t>
  </si>
  <si>
    <t>http://ipelican.com/ru/81041</t>
  </si>
  <si>
    <t>http://www.entero.ru/item/51093</t>
  </si>
  <si>
    <t>http://www.entero.ru/item/51091</t>
  </si>
  <si>
    <t>http://www.t-d.ru/catalog/item/4753/</t>
  </si>
  <si>
    <t>http://www.eq-vip.ru/catalog/?g_id=266</t>
  </si>
  <si>
    <t>http://ipelican.com/ru/178409</t>
  </si>
  <si>
    <t>http://ipelican.com/ru/178393</t>
  </si>
  <si>
    <t>http://ipelican.com/ru/178394</t>
  </si>
  <si>
    <t>http://korinf-group.com/stat/rotacionnaya-pech-revent-724.html</t>
  </si>
  <si>
    <t>http://www.borodinsky.ru/hlebopekarnoe-oborudovanie/pechi-rotacionnie/352-teplovoe-oborudovanie.html</t>
  </si>
  <si>
    <t>http://www.borodinsky.ru/hlebopekarnoe-oborudovanie/pechi-rotacionnie/34-pech-rotacionnaya-musson-rotor-77m.html</t>
  </si>
  <si>
    <t>http://www.borodinsky.ru/hlebopekarnoe-oborudovanie/pechi-rotacionnie/688-pech-rotacionnaya-musson-rotor-99-eko.html</t>
  </si>
  <si>
    <t>http://www.borodinsky.ru/hlebopekarnoe-oborudovanie/pechi-rotacionnie/30-rotacionnaya-konvekcionnaya-pech-musson-rotor-250-mr-super.html</t>
  </si>
  <si>
    <t>http://www.whitegoods.ru/goods/48478.htm</t>
  </si>
  <si>
    <t>http://www.whitegoods.ru/goods/31827.htm</t>
  </si>
  <si>
    <t>http://www.whitegoods.ru/goods/65075.htm</t>
  </si>
  <si>
    <t>http://www.whitegoods.ru/goods/65078.htm</t>
  </si>
  <si>
    <t>http://www.fortorg.ru/tekhnologicheskoe-oborudovanie/teplovoe/pechi/rotatsionnye/irtysh/seriya-pvt</t>
  </si>
  <si>
    <t>Качество выпечки хлеба ( отзывы в интернете + обзвон)</t>
  </si>
  <si>
    <t>Ротор АГРО 302Э</t>
  </si>
  <si>
    <t>Ротор АГРО 202Э</t>
  </si>
  <si>
    <t>Срок окупаемости ротационной печи месяцев</t>
  </si>
  <si>
    <t>Ротор Агро 302Г</t>
  </si>
  <si>
    <t>Ротор Агро 202Г</t>
  </si>
  <si>
    <t>Ротор Агро 302Д</t>
  </si>
  <si>
    <t>Ротор Агро 202Д</t>
  </si>
  <si>
    <t>Хлебопекарные ротационные печи на рынке России и ЕАС</t>
  </si>
  <si>
    <t>Рекомендуем сначала выбрать тип печи - газ, электр или диз</t>
  </si>
  <si>
    <t>Сортировать рекомендуем после выбора типа печи - газовой, эклектической, диапазонов стоимости и производительности</t>
  </si>
  <si>
    <t>Рекомендуем выбрать приемлемый диапазон цен, после выбора модели и производительности</t>
  </si>
  <si>
    <t>Текущие затраты на 1 форм хлеб без учета качества в год руб./штуку</t>
  </si>
  <si>
    <t>Средняя цена ротационной печи (между прайсовой и с максимальной скидкой) руб.</t>
  </si>
  <si>
    <t>Условная прибыль от форм хлеба в год, руб.</t>
  </si>
  <si>
    <t>1 скоростной</t>
  </si>
  <si>
    <t>18 шт.</t>
  </si>
  <si>
    <t>12 шт.</t>
  </si>
  <si>
    <t>Текущие затраты руб./штуку на 1 форм хлеб 0,5 кг  (цена инвестиций, энергоносители и ремонт)</t>
  </si>
  <si>
    <t>Рекомендуем выбрать приемлемый диапазон производительности</t>
  </si>
  <si>
    <t>Раскрыть параметры расчета</t>
  </si>
  <si>
    <t>Красным цветом и со знаком минус обозначены неокупаемые модели (нерентабельные)</t>
  </si>
  <si>
    <t>Раскрыть параметры технические</t>
  </si>
  <si>
    <t>Производительность в год по формовому хлебу 0,5 кг при 1 смене 12 часов ежедневно</t>
  </si>
  <si>
    <t>Муссон-Ротор 77М-02</t>
  </si>
  <si>
    <t>Муссон-Ротор 55-02</t>
  </si>
  <si>
    <t>1800x1673x2385</t>
  </si>
  <si>
    <t>1555х1350х2270</t>
  </si>
  <si>
    <t>ТС-1</t>
  </si>
  <si>
    <t>660x600</t>
  </si>
  <si>
    <t>450 х 600</t>
  </si>
  <si>
    <t>Муссон-Ротор 77М-01</t>
  </si>
  <si>
    <t>Муссон-Ротор 55-01</t>
  </si>
  <si>
    <t>Торгмаш (Смоленск)</t>
  </si>
  <si>
    <t>ПКЭ-9</t>
  </si>
  <si>
    <t>ПХП-6</t>
  </si>
  <si>
    <t>Среднее значение потребления электроэнергии, кВт/час</t>
  </si>
  <si>
    <t>2000х1620х2250</t>
  </si>
  <si>
    <t>ТС-10</t>
  </si>
  <si>
    <t>10,13,18,26</t>
  </si>
  <si>
    <t>10,13,18</t>
  </si>
  <si>
    <t>650х530</t>
  </si>
  <si>
    <t>650х531</t>
  </si>
  <si>
    <t>BONGARD (Франция)</t>
  </si>
  <si>
    <t>8.43 E</t>
  </si>
  <si>
    <t>1300x2330x2388</t>
  </si>
  <si>
    <t>38.0 </t>
  </si>
  <si>
    <t>400х800</t>
  </si>
  <si>
    <t>10.86 E</t>
  </si>
  <si>
    <t>2251х1705х2492</t>
  </si>
  <si>
    <t>Sveba Dahlen (Швеция)</t>
  </si>
  <si>
    <t>V30El</t>
  </si>
  <si>
    <t>V31 Oil</t>
  </si>
  <si>
    <t>V32 Gas</t>
  </si>
  <si>
    <t>V40 El</t>
  </si>
  <si>
    <t>V41 Oil</t>
  </si>
  <si>
    <t>V 42 Gas</t>
  </si>
  <si>
    <t xml:space="preserve"> 50-350Сº</t>
  </si>
  <si>
    <t>1810х1450 х2425</t>
  </si>
  <si>
    <t>1915х1450 х2425</t>
  </si>
  <si>
    <t>2165х1700 х2425</t>
  </si>
  <si>
    <t>Муссон-Ротор 33</t>
  </si>
  <si>
    <t>1167х1218х2250</t>
  </si>
  <si>
    <t xml:space="preserve">Допустимые затраты на ротационной печи руб./штуку на 1 форм хлеб 0,5 кг </t>
  </si>
  <si>
    <t>Производительность  хлеб формовой при использовании форм Л7 в  час, шт</t>
  </si>
  <si>
    <t>Ротор-Нева 600х800</t>
  </si>
  <si>
    <t>Русская трапиза (С.Петербург)</t>
  </si>
  <si>
    <t>Ротор-Нева 600х1100</t>
  </si>
  <si>
    <t>1945х2605х2570</t>
  </si>
  <si>
    <t>1720х2820х2510</t>
  </si>
  <si>
    <t>1945х3070х2510</t>
  </si>
  <si>
    <t>https://r-t.ru/pechi-rotacionnye-rotor-neva.html</t>
  </si>
  <si>
    <t>Русская трапеза (С.Петербург)</t>
  </si>
  <si>
    <t>ROTOR 68</t>
  </si>
  <si>
    <t>Bake (Италия)</t>
  </si>
  <si>
    <t>Off Rotorbake E8</t>
  </si>
  <si>
    <t xml:space="preserve">Off Rotorbake T8 </t>
  </si>
  <si>
    <t>BASSANINA (Италия)</t>
  </si>
  <si>
    <t>1440x1930x2200</t>
  </si>
  <si>
    <t>http://www.rp.ru/shop/5478/46818/</t>
  </si>
  <si>
    <t>http://www.rp.ru/shop/5478/63615/</t>
  </si>
  <si>
    <t>http://horecaplus.ru/catalog/pechi_rotatsionnye/pech_rotatsionnaya_bassanina_rotor_68/</t>
  </si>
  <si>
    <t>http://restomarkt.ru/catalog/Teplovoe/Rotatsionnie_pechi/63616/?frommarket=https%3A//market.yandex.ru/search.xml%3Fclid%3D545%26cvredirect%3D0%26text%3D%D0%BF%D0%B5%D1%87%D1%8C+%D1%80%D0%BE%D1%82%D0%B0%D1%86%D0%B8%D0%BE%D0%BD%D0%BD%D0%B0%D1%8F+bassanina+rotor+68&amp;ymclid=62437465823236710771003</t>
  </si>
  <si>
    <t>1280 * 1875 * 2595</t>
  </si>
  <si>
    <t>http://www.rproject.ru/equipment/bake_off/</t>
  </si>
  <si>
    <t>http://www.entero.ru/item/61710</t>
  </si>
  <si>
    <t>http://www.bakeoff.it/en/products/rotorbake-line/rotorbake-t8-gas/</t>
  </si>
  <si>
    <t>ЕМБ090/3 ТРЭ</t>
  </si>
  <si>
    <t>ЕМБ080/3 ТРЭ</t>
  </si>
  <si>
    <t>Белкрас (Краснодар)</t>
  </si>
  <si>
    <t>ЕМБ090/3 ТРЖ</t>
  </si>
  <si>
    <t>ЕМБ080/3 ТРЖ</t>
  </si>
  <si>
    <t>ЕМБ090/3 ТРГ</t>
  </si>
  <si>
    <t>ЕМБ080/3 ТРГ</t>
  </si>
  <si>
    <t>1440*2190*2420</t>
  </si>
  <si>
    <t>1540*2280*2420</t>
  </si>
  <si>
    <t>Unigas или по выбору клиента</t>
  </si>
  <si>
    <t>10,-36</t>
  </si>
  <si>
    <t>900х660</t>
  </si>
  <si>
    <t>800х900</t>
  </si>
  <si>
    <t>Параметры\ организация</t>
  </si>
  <si>
    <t>Цена руб. со скидкой часто применяемой</t>
  </si>
  <si>
    <t>Цена эксплуатации, руб. в год</t>
  </si>
  <si>
    <t>Сумма годовых затрат на ремонт, руб.</t>
  </si>
  <si>
    <t>Итого затраты на энергию, руб. в год</t>
  </si>
  <si>
    <t xml:space="preserve"> хлеб формовой при использовании форм Л7 в  час, шт.</t>
  </si>
  <si>
    <t xml:space="preserve"> хлеб формовой при использовании форм Л7   в 1 смену 12 часов, шт. </t>
  </si>
</sst>
</file>

<file path=xl/styles.xml><?xml version="1.0" encoding="utf-8"?>
<styleSheet xmlns="http://schemas.openxmlformats.org/spreadsheetml/2006/main">
  <numFmts count="3">
    <numFmt numFmtId="164" formatCode="#,##0&quot;р.&quot;"/>
    <numFmt numFmtId="165" formatCode="0.0"/>
    <numFmt numFmtId="166" formatCode="0.000"/>
  </numFmts>
  <fonts count="1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8.25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1E1E1E"/>
      <name val="Arial"/>
      <family val="2"/>
      <charset val="204"/>
    </font>
    <font>
      <sz val="8"/>
      <color rgb="FF192129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333333"/>
      <name val="Arial"/>
      <family val="2"/>
      <charset val="204"/>
    </font>
    <font>
      <b/>
      <sz val="8"/>
      <color rgb="FF1E1E1E"/>
      <name val="Arial"/>
      <family val="2"/>
      <charset val="204"/>
    </font>
    <font>
      <u/>
      <sz val="8"/>
      <color theme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ADF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4" fillId="3" borderId="0" xfId="0" applyFont="1" applyFill="1" applyAlignment="1">
      <alignment horizontal="center" vertical="center" wrapText="1"/>
    </xf>
    <xf numFmtId="165" fontId="4" fillId="1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165" fontId="5" fillId="14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 shrinkToFit="1"/>
    </xf>
    <xf numFmtId="0" fontId="14" fillId="0" borderId="5" xfId="1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>
      <alignment horizontal="center" vertical="top" wrapText="1"/>
    </xf>
    <xf numFmtId="0" fontId="14" fillId="0" borderId="2" xfId="1" applyFont="1" applyBorder="1" applyAlignment="1" applyProtection="1">
      <alignment horizontal="center" vertical="center" wrapText="1"/>
    </xf>
    <xf numFmtId="0" fontId="4" fillId="0" borderId="4" xfId="0" applyFont="1" applyBorder="1"/>
    <xf numFmtId="0" fontId="4" fillId="0" borderId="3" xfId="0" applyFont="1" applyBorder="1" applyAlignment="1">
      <alignment horizontal="center" vertical="top" wrapText="1"/>
    </xf>
    <xf numFmtId="0" fontId="14" fillId="0" borderId="3" xfId="1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left" vertical="top" wrapText="1"/>
    </xf>
    <xf numFmtId="0" fontId="14" fillId="0" borderId="1" xfId="1" applyFont="1" applyBorder="1" applyAlignment="1" applyProtection="1">
      <alignment wrapText="1"/>
    </xf>
    <xf numFmtId="0" fontId="14" fillId="0" borderId="1" xfId="1" applyFont="1" applyBorder="1" applyAlignment="1" applyProtection="1">
      <alignment vertical="center" wrapText="1"/>
    </xf>
    <xf numFmtId="0" fontId="14" fillId="0" borderId="1" xfId="1" applyFont="1" applyBorder="1" applyAlignment="1" applyProtection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verzpo.ru/&#1082;&#1086;&#1085;&#1082;&#1091;&#1088;&#1077;&#1085;&#1090;&#1085;&#1099;&#1077;-&#1087;&#1088;&#1077;&#1080;&#1084;&#1091;&#1097;&#1077;&#1089;&#1090;&#1074;&#1072;/&#1086;&#1073;&#1079;&#1086;&#1088;&#1099;-&#1090;&#1077;&#1093;&#1085;&#1080;&#1095;&#1077;&#1089;&#1082;&#1080;&#1093;-&#1093;&#1072;&#1088;&#1072;&#1082;&#1090;&#1077;&#1088;&#1080;&#1089;&#1090;&#1080;&#1082;/&#1088;&#1086;&#1090;&#1086;&#1088;-&#1072;&#1075;&#1088;&#1086;-202-302/" TargetMode="External"/><Relationship Id="rId117" Type="http://schemas.openxmlformats.org/officeDocument/2006/relationships/hyperlink" Target="http://www.entero.ru/item/51093" TargetMode="External"/><Relationship Id="rId21" Type="http://schemas.openxmlformats.org/officeDocument/2006/relationships/hyperlink" Target="http://ipelican.com/ru/246411" TargetMode="External"/><Relationship Id="rId42" Type="http://schemas.openxmlformats.org/officeDocument/2006/relationships/hyperlink" Target="http://tehnika-ua.com/index.php?route=product/product&amp;product_id=7190" TargetMode="External"/><Relationship Id="rId47" Type="http://schemas.openxmlformats.org/officeDocument/2006/relationships/hyperlink" Target="http://www.crv-bakery.ru/catalog/rotatsionnye/3898/" TargetMode="External"/><Relationship Id="rId63" Type="http://schemas.openxmlformats.org/officeDocument/2006/relationships/hyperlink" Target="http://voskhod-saratov.ru/rus/catalog/pech_rotacionnaya_musson-rotor_99M/" TargetMode="External"/><Relationship Id="rId68" Type="http://schemas.openxmlformats.org/officeDocument/2006/relationships/hyperlink" Target="http://www.irtysh.com.ru/catalog/bread-equipment/28.html" TargetMode="External"/><Relationship Id="rId84" Type="http://schemas.openxmlformats.org/officeDocument/2006/relationships/hyperlink" Target="http://www.fornifiorini.com/eng/prodotto.php?id_new=37&amp;id_cat=1" TargetMode="External"/><Relationship Id="rId89" Type="http://schemas.openxmlformats.org/officeDocument/2006/relationships/hyperlink" Target="http://www.crv-bakery.ru/catalog/pechi/rotacionnye/crv/" TargetMode="External"/><Relationship Id="rId112" Type="http://schemas.openxmlformats.org/officeDocument/2006/relationships/hyperlink" Target="http://www.oborud.info/product/jump.php?23122&amp;c=845" TargetMode="External"/><Relationship Id="rId133" Type="http://schemas.openxmlformats.org/officeDocument/2006/relationships/hyperlink" Target="http://ipelican.com/ru/178394" TargetMode="External"/><Relationship Id="rId138" Type="http://schemas.openxmlformats.org/officeDocument/2006/relationships/hyperlink" Target="http://www.whitegoods.ru/goods/48477.htm" TargetMode="External"/><Relationship Id="rId154" Type="http://schemas.openxmlformats.org/officeDocument/2006/relationships/hyperlink" Target="https://r-t.ru/pechi-rotacionnye-rotor-neva.html" TargetMode="External"/><Relationship Id="rId159" Type="http://schemas.openxmlformats.org/officeDocument/2006/relationships/hyperlink" Target="https://r-t.ru/pechi-rotacionnye-rotor-neva.html" TargetMode="External"/><Relationship Id="rId16" Type="http://schemas.openxmlformats.org/officeDocument/2006/relationships/hyperlink" Target="http://www.rproject.ru/equipment/revent/" TargetMode="External"/><Relationship Id="rId107" Type="http://schemas.openxmlformats.org/officeDocument/2006/relationships/hyperlink" Target="http://nsuh.ru/content/pech-rotacionnaya-elektrich-crv-fd-150" TargetMode="External"/><Relationship Id="rId11" Type="http://schemas.openxmlformats.org/officeDocument/2006/relationships/hyperlink" Target="http://eu-mach.ru/store/173948/pechi_irtysh/" TargetMode="External"/><Relationship Id="rId32" Type="http://schemas.openxmlformats.org/officeDocument/2006/relationships/hyperlink" Target="http://ariadaholod.ru/katalog/tehnologicheskoe-oborudovanie-obschepit/zavod-voshod-gsaratov/pechi/pech-rotatsionnaya-musson-rotor-model-99mr-01-99mr-02.html" TargetMode="External"/><Relationship Id="rId37" Type="http://schemas.openxmlformats.org/officeDocument/2006/relationships/hyperlink" Target="http://www.t-d.ru/catalog/item/4732/" TargetMode="External"/><Relationship Id="rId53" Type="http://schemas.openxmlformats.org/officeDocument/2006/relationships/hyperlink" Target="http://www.miwe.de/product_baking_miwe_roll_in_eplus_ru,24153.html" TargetMode="External"/><Relationship Id="rId58" Type="http://schemas.openxmlformats.org/officeDocument/2006/relationships/hyperlink" Target="http://www.reventrus.ru/?r=724" TargetMode="External"/><Relationship Id="rId74" Type="http://schemas.openxmlformats.org/officeDocument/2006/relationships/hyperlink" Target="http://&#1082;&#1091;&#1084;&#1082;&#1072;&#1081;&#1103;.&#1088;&#1092;/oborudovanie_dlya_vyipechki/rotatsionnyie_pechi/lider250_rotatsionnaya_pech.html" TargetMode="External"/><Relationship Id="rId79" Type="http://schemas.openxmlformats.org/officeDocument/2006/relationships/hyperlink" Target="http://&#1082;&#1091;&#1084;&#1082;&#1072;&#1103;.&#1088;&#1092;/katalog/kom/lidia.pdf" TargetMode="External"/><Relationship Id="rId102" Type="http://schemas.openxmlformats.org/officeDocument/2006/relationships/hyperlink" Target="http://nsuh.ru/content/pech-rotacionnaya-elektrich-crv-fd-150" TargetMode="External"/><Relationship Id="rId123" Type="http://schemas.openxmlformats.org/officeDocument/2006/relationships/hyperlink" Target="http://www.rproject.ru/upload/instruction/5008_demo.pdf" TargetMode="External"/><Relationship Id="rId128" Type="http://schemas.openxmlformats.org/officeDocument/2006/relationships/hyperlink" Target="http://www.eq-vip.ru/catalog/?g_id=266" TargetMode="External"/><Relationship Id="rId144" Type="http://schemas.openxmlformats.org/officeDocument/2006/relationships/hyperlink" Target="http://www.whitegoods.ru/goods/48478.htm" TargetMode="External"/><Relationship Id="rId149" Type="http://schemas.openxmlformats.org/officeDocument/2006/relationships/hyperlink" Target="http://www.borodinsky.ru/hlebopekarnoe-oborudovanie/pechi-rotacionnie/352-teplovoe-oborudovanie.html" TargetMode="External"/><Relationship Id="rId5" Type="http://schemas.openxmlformats.org/officeDocument/2006/relationships/hyperlink" Target="http://www.fornifiorini.com/eng/prodotto.php?id_new=8&amp;id_cat=1" TargetMode="External"/><Relationship Id="rId90" Type="http://schemas.openxmlformats.org/officeDocument/2006/relationships/hyperlink" Target="http://www.crv-bakery.ru/catalog/pechi/rotacionnye/crv/" TargetMode="External"/><Relationship Id="rId95" Type="http://schemas.openxmlformats.org/officeDocument/2006/relationships/hyperlink" Target="http://palerom.ru/catalog/rubric/khlebopekarnoe-i-konditerskoe-oborudovanie-dlja-restoranov-i-magazinov/khlebopekarnye-pechi/rotatsionnye-pechi/pechi-crv-turtsija/pech_fd200_gazovaya/" TargetMode="External"/><Relationship Id="rId160" Type="http://schemas.openxmlformats.org/officeDocument/2006/relationships/hyperlink" Target="http://www.rp.ru/shop/5478/46818/" TargetMode="External"/><Relationship Id="rId165" Type="http://schemas.openxmlformats.org/officeDocument/2006/relationships/hyperlink" Target="http://www.rproject.ru/equipment/bake_off/" TargetMode="External"/><Relationship Id="rId22" Type="http://schemas.openxmlformats.org/officeDocument/2006/relationships/hyperlink" Target="http://palerom.ru/catalog/rubric/khlebopekarnoe-i-konditerskoe-oborudovanie-dlja-restoranov-i-magazinov/khlebopekarnye-pechi/rotatsionnye-pechi/pechi-crv-turtsija/pech_fd_150_gazovaya/" TargetMode="External"/><Relationship Id="rId27" Type="http://schemas.openxmlformats.org/officeDocument/2006/relationships/hyperlink" Target="http://tverzpo.ru/&#1082;&#1086;&#1085;&#1082;&#1091;&#1088;&#1077;&#1085;&#1090;&#1085;&#1099;&#1077;-&#1087;&#1088;&#1077;&#1080;&#1084;&#1091;&#1097;&#1077;&#1089;&#1090;&#1074;&#1072;/&#1086;&#1073;&#1079;&#1086;&#1088;&#1099;-&#1090;&#1077;&#1093;&#1085;&#1080;&#1095;&#1077;&#1089;&#1082;&#1080;&#1093;-&#1093;&#1072;&#1088;&#1072;&#1082;&#1090;&#1077;&#1088;&#1080;&#1089;&#1090;&#1080;&#1082;/&#1088;&#1086;&#1090;&#1086;&#1088;-&#1072;&#1075;&#1088;&#1086;-202-302/" TargetMode="External"/><Relationship Id="rId43" Type="http://schemas.openxmlformats.org/officeDocument/2006/relationships/hyperlink" Target="http://www.irtysh.com.ru/catalog/bread-equipment/27.html" TargetMode="External"/><Relationship Id="rId48" Type="http://schemas.openxmlformats.org/officeDocument/2006/relationships/hyperlink" Target="http://www.crv-bakery.ru/catalog/rotatsionnye/4718/" TargetMode="External"/><Relationship Id="rId64" Type="http://schemas.openxmlformats.org/officeDocument/2006/relationships/hyperlink" Target="http://www.irtysh.com.ru/catalog/bread-equipment/27.html" TargetMode="External"/><Relationship Id="rId69" Type="http://schemas.openxmlformats.org/officeDocument/2006/relationships/hyperlink" Target="http://eu-mach.ru/store/173948/pechi_irtysh/" TargetMode="External"/><Relationship Id="rId113" Type="http://schemas.openxmlformats.org/officeDocument/2006/relationships/hyperlink" Target="http://www.oborud.info/product/jump.php?23122&amp;c=845" TargetMode="External"/><Relationship Id="rId118" Type="http://schemas.openxmlformats.org/officeDocument/2006/relationships/hyperlink" Target="http://www.entero.ru/item/51091" TargetMode="External"/><Relationship Id="rId134" Type="http://schemas.openxmlformats.org/officeDocument/2006/relationships/hyperlink" Target="http://ipelican.com/ru/178393" TargetMode="External"/><Relationship Id="rId139" Type="http://schemas.openxmlformats.org/officeDocument/2006/relationships/hyperlink" Target="http://www.borodinsky.ru/hlebopekarnoe-oborudovanie/pechi/32-pech-rotacionnaya-musson-rotor-99.html" TargetMode="External"/><Relationship Id="rId80" Type="http://schemas.openxmlformats.org/officeDocument/2006/relationships/hyperlink" Target="http://&#1082;&#1091;&#1084;&#1082;&#1072;&#1103;.&#1088;&#1092;/katalog/kom/lidia.pdf" TargetMode="External"/><Relationship Id="rId85" Type="http://schemas.openxmlformats.org/officeDocument/2006/relationships/hyperlink" Target="http://www.fornifiorini.com/eng/prodotto.php?id_new=37&amp;id_cat=1" TargetMode="External"/><Relationship Id="rId150" Type="http://schemas.openxmlformats.org/officeDocument/2006/relationships/hyperlink" Target="http://www.fortorg.ru/tekhnologicheskoe-oborudovanie/teplovoe/pechi/rotatsionnye/irtysh/seriya-pvt" TargetMode="External"/><Relationship Id="rId155" Type="http://schemas.openxmlformats.org/officeDocument/2006/relationships/hyperlink" Target="https://r-t.ru/pechi-rotacionnye-rotor-neva.html" TargetMode="External"/><Relationship Id="rId12" Type="http://schemas.openxmlformats.org/officeDocument/2006/relationships/hyperlink" Target="http://www.fortorg.ru/tekhnologicheskoe-oborudovanie/teplovoe/pechi/rotatsionnye/irtysh/seriya-pvt/103762.html" TargetMode="External"/><Relationship Id="rId17" Type="http://schemas.openxmlformats.org/officeDocument/2006/relationships/hyperlink" Target="http://www.crv-bakery.ru/catalog/rotatsionnye/3898/" TargetMode="External"/><Relationship Id="rId33" Type="http://schemas.openxmlformats.org/officeDocument/2006/relationships/hyperlink" Target="http://www.whitegoods.ru/goods/31811.htm?8(800)775-56-00&amp;ref=ipelican" TargetMode="External"/><Relationship Id="rId38" Type="http://schemas.openxmlformats.org/officeDocument/2006/relationships/hyperlink" Target="http://www.miwe.de/product_baking_miwe_roll_in_eplus_ru,24153.html" TargetMode="External"/><Relationship Id="rId59" Type="http://schemas.openxmlformats.org/officeDocument/2006/relationships/hyperlink" Target="http://www.reventrus.ru/?r=724" TargetMode="External"/><Relationship Id="rId103" Type="http://schemas.openxmlformats.org/officeDocument/2006/relationships/hyperlink" Target="http://ipelican.com/ru/246411" TargetMode="External"/><Relationship Id="rId108" Type="http://schemas.openxmlformats.org/officeDocument/2006/relationships/hyperlink" Target="http://ipelican.com/ru/246412" TargetMode="External"/><Relationship Id="rId124" Type="http://schemas.openxmlformats.org/officeDocument/2006/relationships/hyperlink" Target="http://www.rproject.ru/upload/instruction/5008_demo.pdf" TargetMode="External"/><Relationship Id="rId129" Type="http://schemas.openxmlformats.org/officeDocument/2006/relationships/hyperlink" Target="http://www.eq-vip.ru/catalog/?g_id=266" TargetMode="External"/><Relationship Id="rId54" Type="http://schemas.openxmlformats.org/officeDocument/2006/relationships/hyperlink" Target="http://www.miwe.de/product_baking_miwe_roll_in_eplus_ru,24153.html" TargetMode="External"/><Relationship Id="rId70" Type="http://schemas.openxmlformats.org/officeDocument/2006/relationships/hyperlink" Target="http://eu-mach.ru/store/173948/pechi_irtysh/" TargetMode="External"/><Relationship Id="rId75" Type="http://schemas.openxmlformats.org/officeDocument/2006/relationships/hyperlink" Target="http://&#1082;&#1091;&#1084;&#1082;&#1072;&#1081;&#1103;.&#1088;&#1092;/oborudovanie_dlya_vyipechki/rotatsionnyie_pechi/lider250_rotatsionnaya_pech.html" TargetMode="External"/><Relationship Id="rId91" Type="http://schemas.openxmlformats.org/officeDocument/2006/relationships/hyperlink" Target="http://palerom.ru/catalog/rubric/khlebopekarnoe-i-konditerskoe-oborudovanie-dlja-restoranov-i-magazinov/khlebopekarnye-pechi/rotatsionnye-pechi/pechi-kumkajj-turtsija/pech_lider_250/" TargetMode="External"/><Relationship Id="rId96" Type="http://schemas.openxmlformats.org/officeDocument/2006/relationships/hyperlink" Target="http://palerom.ru/catalog/rubric/khlebopekarnoe-i-konditerskoe-oborudovanie-dlja-restoranov-i-magazinov/khlebopekarnye-pechi/rotatsionnye-pechi/pechi-crv-turtsija/pech_fd200_gazovaya/" TargetMode="External"/><Relationship Id="rId140" Type="http://schemas.openxmlformats.org/officeDocument/2006/relationships/hyperlink" Target="http://www.borodinsky.ru/hlebopekarnoe-oborudovanie/pechi-rotacionnie/688-pech-rotacionnaya-musson-rotor-99-eko.html" TargetMode="External"/><Relationship Id="rId145" Type="http://schemas.openxmlformats.org/officeDocument/2006/relationships/hyperlink" Target="http://www.whitegoods.ru/goods/65078.htm" TargetMode="External"/><Relationship Id="rId161" Type="http://schemas.openxmlformats.org/officeDocument/2006/relationships/hyperlink" Target="http://www.rp.ru/shop/5478/63615/" TargetMode="External"/><Relationship Id="rId166" Type="http://schemas.openxmlformats.org/officeDocument/2006/relationships/hyperlink" Target="http://www.entero.ru/item/61710" TargetMode="External"/><Relationship Id="rId1" Type="http://schemas.openxmlformats.org/officeDocument/2006/relationships/hyperlink" Target="http://tverzpo.ru/&#1082;&#1086;&#1085;&#1082;&#1091;&#1088;&#1077;&#1085;&#1090;&#1085;&#1099;&#1077;-&#1087;&#1088;&#1077;&#1080;&#1084;&#1091;&#1097;&#1077;&#1089;&#1090;&#1074;&#1072;/&#1086;&#1073;&#1079;&#1086;&#1088;&#1099;-&#1090;&#1077;&#1093;&#1085;&#1080;&#1095;&#1077;&#1089;&#1082;&#1080;&#1093;-&#1093;&#1072;&#1088;&#1072;&#1082;&#1090;&#1077;&#1088;&#1080;&#1089;&#1090;&#1080;&#1082;/&#1088;&#1086;&#1090;&#1086;&#1088;-&#1072;&#1075;&#1088;&#1086;-202-302/" TargetMode="External"/><Relationship Id="rId6" Type="http://schemas.openxmlformats.org/officeDocument/2006/relationships/hyperlink" Target="http://www.klenmarket.ru/shop/equipment/bakery-and-confectionery-equipment/rotary-ovens/microwave-rotary-forni-fiorini-rotor-platform/" TargetMode="External"/><Relationship Id="rId15" Type="http://schemas.openxmlformats.org/officeDocument/2006/relationships/hyperlink" Target="http://ipelican.com/ru/178403" TargetMode="External"/><Relationship Id="rId23" Type="http://schemas.openxmlformats.org/officeDocument/2006/relationships/hyperlink" Target="http://&#1082;&#1091;&#1084;&#1082;&#1072;&#1081;&#1103;.&#1088;&#1092;/oborudovanie_dlya_vyipechki/rotatsionnyie_pechi/lider140_rotatsionnaya_pech.html" TargetMode="External"/><Relationship Id="rId28" Type="http://schemas.openxmlformats.org/officeDocument/2006/relationships/hyperlink" Target="http://tverzpo.ru/&#1082;&#1086;&#1085;&#1082;&#1091;&#1088;&#1077;&#1085;&#1090;&#1085;&#1099;&#1077;-&#1087;&#1088;&#1077;&#1080;&#1084;&#1091;&#1097;&#1077;&#1089;&#1090;&#1074;&#1072;/&#1086;&#1073;&#1079;&#1086;&#1088;&#1099;-&#1090;&#1077;&#1093;&#1085;&#1080;&#1095;&#1077;&#1089;&#1082;&#1080;&#1093;-&#1093;&#1072;&#1088;&#1072;&#1082;&#1090;&#1077;&#1088;&#1080;&#1089;&#1090;&#1080;&#1082;/&#1088;&#1086;&#1090;&#1086;&#1088;-&#1072;&#1075;&#1088;&#1086;-202-302/" TargetMode="External"/><Relationship Id="rId36" Type="http://schemas.openxmlformats.org/officeDocument/2006/relationships/hyperlink" Target="http://ipelican.com/ru/81034" TargetMode="External"/><Relationship Id="rId49" Type="http://schemas.openxmlformats.org/officeDocument/2006/relationships/hyperlink" Target="http://www.crv-bakery.ru/catalog/rotatsionnye/4718/" TargetMode="External"/><Relationship Id="rId57" Type="http://schemas.openxmlformats.org/officeDocument/2006/relationships/hyperlink" Target="http://www.reventrus.ru/?r=724" TargetMode="External"/><Relationship Id="rId106" Type="http://schemas.openxmlformats.org/officeDocument/2006/relationships/hyperlink" Target="http://ipelican.com/ru/246411" TargetMode="External"/><Relationship Id="rId114" Type="http://schemas.openxmlformats.org/officeDocument/2006/relationships/hyperlink" Target="http://www.entero.ru/item/51091" TargetMode="External"/><Relationship Id="rId119" Type="http://schemas.openxmlformats.org/officeDocument/2006/relationships/hyperlink" Target="http://ipelican.com/ru/81041" TargetMode="External"/><Relationship Id="rId127" Type="http://schemas.openxmlformats.org/officeDocument/2006/relationships/hyperlink" Target="http://www.rproject.ru/upload/instruction/5008_demo.pdf" TargetMode="External"/><Relationship Id="rId10" Type="http://schemas.openxmlformats.org/officeDocument/2006/relationships/hyperlink" Target="http://www.t-d.ru/catalog/item/4732/" TargetMode="External"/><Relationship Id="rId31" Type="http://schemas.openxmlformats.org/officeDocument/2006/relationships/hyperlink" Target="http://voskhod-saratov.ru/rus/catalog/224/" TargetMode="External"/><Relationship Id="rId44" Type="http://schemas.openxmlformats.org/officeDocument/2006/relationships/hyperlink" Target="http://ipelican.com/ru/106719" TargetMode="External"/><Relationship Id="rId52" Type="http://schemas.openxmlformats.org/officeDocument/2006/relationships/hyperlink" Target="http://www.miwe.de/product_baking_miwe_roll_in_eplus_ru,24153.html" TargetMode="External"/><Relationship Id="rId60" Type="http://schemas.openxmlformats.org/officeDocument/2006/relationships/hyperlink" Target="http://voskhod-saratov.ru/rus/catalog/pech_rotacionnaya_musson-rotor_250/" TargetMode="External"/><Relationship Id="rId65" Type="http://schemas.openxmlformats.org/officeDocument/2006/relationships/hyperlink" Target="http://eu-mach.ru/store/173948/pechi_irtysh/" TargetMode="External"/><Relationship Id="rId73" Type="http://schemas.openxmlformats.org/officeDocument/2006/relationships/hyperlink" Target="http://&#1082;&#1091;&#1084;&#1082;&#1072;&#1081;&#1103;.&#1088;&#1092;/oborudovanie_dlya_vyipechki/rotatsionnyie_pechi/lider140_rotatsionnaya_pech.html" TargetMode="External"/><Relationship Id="rId78" Type="http://schemas.openxmlformats.org/officeDocument/2006/relationships/hyperlink" Target="http://&#1082;&#1091;&#1084;&#1082;&#1072;&#1103;.&#1088;&#1092;/katalog/kom/lidia.pdf" TargetMode="External"/><Relationship Id="rId81" Type="http://schemas.openxmlformats.org/officeDocument/2006/relationships/hyperlink" Target="http://&#1082;&#1091;&#1084;&#1082;&#1072;&#1103;.&#1088;&#1092;/katalog/kom/lidia.pdf" TargetMode="External"/><Relationship Id="rId86" Type="http://schemas.openxmlformats.org/officeDocument/2006/relationships/hyperlink" Target="http://www.crv-bakery.ru/catalog/pechi/rotacionnye/crv/" TargetMode="External"/><Relationship Id="rId94" Type="http://schemas.openxmlformats.org/officeDocument/2006/relationships/hyperlink" Target="http://ipelican.com/ru/246412" TargetMode="External"/><Relationship Id="rId99" Type="http://schemas.openxmlformats.org/officeDocument/2006/relationships/hyperlink" Target="http://palerom.ru/catalog/rubric/khlebopekarnoe-i-konditerskoe-oborudovanie-dlja-restoranov-i-magazinov/khlebopekarnye-pechi/rotatsionnye-pechi/pechi-crv-turtsija/pech_fd200_gazovaya/" TargetMode="External"/><Relationship Id="rId101" Type="http://schemas.openxmlformats.org/officeDocument/2006/relationships/hyperlink" Target="http://palerom.ru/catalog/rubric/khlebopekarnoe-i-konditerskoe-oborudovanie-dlja-restoranov-i-magazinov/khlebopekarnye-pechi/rotatsionnye-pechi/pechi-crv-turtsija/pech_fd200_gazovaya/" TargetMode="External"/><Relationship Id="rId122" Type="http://schemas.openxmlformats.org/officeDocument/2006/relationships/hyperlink" Target="http://www.rproject.ru/upload/instruction/5008_demo.pdf" TargetMode="External"/><Relationship Id="rId130" Type="http://schemas.openxmlformats.org/officeDocument/2006/relationships/hyperlink" Target="http://ipelican.com/ru/178409" TargetMode="External"/><Relationship Id="rId135" Type="http://schemas.openxmlformats.org/officeDocument/2006/relationships/hyperlink" Target="http://korinf-group.com/stat/rotacionnaya-pech-revent-724.html" TargetMode="External"/><Relationship Id="rId143" Type="http://schemas.openxmlformats.org/officeDocument/2006/relationships/hyperlink" Target="http://www.whitegoods.ru/goods/31827.htm" TargetMode="External"/><Relationship Id="rId148" Type="http://schemas.openxmlformats.org/officeDocument/2006/relationships/hyperlink" Target="http://www.borodinsky.ru/hlebopekarnoe-oborudovanie/pechi-rotacionnie/34-pech-rotacionnaya-musson-rotor-77m.html" TargetMode="External"/><Relationship Id="rId151" Type="http://schemas.openxmlformats.org/officeDocument/2006/relationships/hyperlink" Target="http://www.fortorg.ru/tekhnologicheskoe-oborudovanie/teplovoe/pechi/rotatsionnye/irtysh/seriya-pvt" TargetMode="External"/><Relationship Id="rId156" Type="http://schemas.openxmlformats.org/officeDocument/2006/relationships/hyperlink" Target="https://r-t.ru/pechi-rotacionnye-rotor-neva.html" TargetMode="External"/><Relationship Id="rId164" Type="http://schemas.openxmlformats.org/officeDocument/2006/relationships/hyperlink" Target="http://www.rproject.ru/equipment/bake_off/" TargetMode="External"/><Relationship Id="rId4" Type="http://schemas.openxmlformats.org/officeDocument/2006/relationships/hyperlink" Target="http://www.borodinsky.ru/hlebopekarnoe-oborudovanie/pechi/32-pech-rotacionnaya-musson-rotor-99.html" TargetMode="External"/><Relationship Id="rId9" Type="http://schemas.openxmlformats.org/officeDocument/2006/relationships/hyperlink" Target="http://www.rproject.ru/upload/instruction/5008_demo.pdf" TargetMode="External"/><Relationship Id="rId13" Type="http://schemas.openxmlformats.org/officeDocument/2006/relationships/hyperlink" Target="http://ipelican.com/ru/106719" TargetMode="External"/><Relationship Id="rId18" Type="http://schemas.openxmlformats.org/officeDocument/2006/relationships/hyperlink" Target="http://ipelican.com/ru/246410" TargetMode="External"/><Relationship Id="rId39" Type="http://schemas.openxmlformats.org/officeDocument/2006/relationships/hyperlink" Target="http://www.rproject.ru/upload/instruction/5008_demo.pdf" TargetMode="External"/><Relationship Id="rId109" Type="http://schemas.openxmlformats.org/officeDocument/2006/relationships/hyperlink" Target="http://palerom.ru/catalog/rubric/khlebopekarnoe-i-konditerskoe-oborudovanie-dlja-restoranov-i-magazinov/khlebopekarnye-pechi/rotatsionnye-pechi/pechi-crv-turtsija/pech_fd200_gazovaya/" TargetMode="External"/><Relationship Id="rId34" Type="http://schemas.openxmlformats.org/officeDocument/2006/relationships/hyperlink" Target="http://www.entero.ru/item/31980" TargetMode="External"/><Relationship Id="rId50" Type="http://schemas.openxmlformats.org/officeDocument/2006/relationships/hyperlink" Target="http://voskhod-saratov.ru/rus/catalog/pech_rotacionnaya_musson-rotor_55/" TargetMode="External"/><Relationship Id="rId55" Type="http://schemas.openxmlformats.org/officeDocument/2006/relationships/hyperlink" Target="http://www.miwe.de/product_baking_miwe_roll_in_eplus_ru,24153.html" TargetMode="External"/><Relationship Id="rId76" Type="http://schemas.openxmlformats.org/officeDocument/2006/relationships/hyperlink" Target="http://&#1082;&#1091;&#1084;&#1082;&#1072;&#1081;&#1103;.&#1088;&#1092;/oborudovanie_dlya_vyipechki/rotatsionnyie_pechi/lider250_rotatsionnaya_pech.html" TargetMode="External"/><Relationship Id="rId97" Type="http://schemas.openxmlformats.org/officeDocument/2006/relationships/hyperlink" Target="http://ipelican.com/ru/246412" TargetMode="External"/><Relationship Id="rId104" Type="http://schemas.openxmlformats.org/officeDocument/2006/relationships/hyperlink" Target="http://ipelican.com/ru/246410" TargetMode="External"/><Relationship Id="rId120" Type="http://schemas.openxmlformats.org/officeDocument/2006/relationships/hyperlink" Target="http://www.oborud.info/product/jump.php?23122&amp;c=845" TargetMode="External"/><Relationship Id="rId125" Type="http://schemas.openxmlformats.org/officeDocument/2006/relationships/hyperlink" Target="http://www.t-d.ru/catalog/item/4753/" TargetMode="External"/><Relationship Id="rId141" Type="http://schemas.openxmlformats.org/officeDocument/2006/relationships/hyperlink" Target="http://www.borodinsky.ru/hlebopekarnoe-oborudovanie/pechi-rotacionnie/30-rotacionnaya-konvekcionnaya-pech-musson-rotor-250-mr-super.html" TargetMode="External"/><Relationship Id="rId146" Type="http://schemas.openxmlformats.org/officeDocument/2006/relationships/hyperlink" Target="http://www.whitegoods.ru/goods/65078.htm" TargetMode="External"/><Relationship Id="rId167" Type="http://schemas.openxmlformats.org/officeDocument/2006/relationships/hyperlink" Target="http://www.bakeoff.it/en/products/rotorbake-line/rotorbake-t8-gas/" TargetMode="External"/><Relationship Id="rId7" Type="http://schemas.openxmlformats.org/officeDocument/2006/relationships/hyperlink" Target="http://ipelican.com/ru/81039" TargetMode="External"/><Relationship Id="rId71" Type="http://schemas.openxmlformats.org/officeDocument/2006/relationships/hyperlink" Target="http://www.irtysh.com.ru/catalog/bread-equipment/27.html" TargetMode="External"/><Relationship Id="rId92" Type="http://schemas.openxmlformats.org/officeDocument/2006/relationships/hyperlink" Target="http://palerom.ru/catalog/rubric/khlebopekarnoe-i-konditerskoe-oborudovanie-dlja-restoranov-i-magazinov/khlebopekarnye-pechi/rotatsionnye-pechi/pechi-kumkajj-turtsija/pech_lider_250/" TargetMode="External"/><Relationship Id="rId162" Type="http://schemas.openxmlformats.org/officeDocument/2006/relationships/hyperlink" Target="http://horecaplus.ru/catalog/pechi_rotatsionnye/pech_rotatsionnaya_bassanina_rotor_68/" TargetMode="External"/><Relationship Id="rId2" Type="http://schemas.openxmlformats.org/officeDocument/2006/relationships/hyperlink" Target="http://voskhod-saratov.ru/rus/catalog/pech_rotacionnaya_musson-rotor_99M/" TargetMode="External"/><Relationship Id="rId29" Type="http://schemas.openxmlformats.org/officeDocument/2006/relationships/hyperlink" Target="http://tverzpo.ru/&#1082;&#1086;&#1085;&#1082;&#1091;&#1088;&#1077;&#1085;&#1090;&#1085;&#1099;&#1077;-&#1087;&#1088;&#1077;&#1080;&#1084;&#1091;&#1097;&#1077;&#1089;&#1090;&#1074;&#1072;/&#1086;&#1073;&#1079;&#1086;&#1088;&#1099;-&#1090;&#1077;&#1093;&#1085;&#1080;&#1095;&#1077;&#1089;&#1082;&#1080;&#1093;-&#1093;&#1072;&#1088;&#1072;&#1082;&#1090;&#1077;&#1088;&#1080;&#1089;&#1090;&#1080;&#1082;/&#1088;&#1086;&#1090;&#1086;&#1088;-&#1072;&#1075;&#1088;&#1086;-202-302/" TargetMode="External"/><Relationship Id="rId24" Type="http://schemas.openxmlformats.org/officeDocument/2006/relationships/hyperlink" Target="http://www.oborud.info/product/jump.php?23122&amp;c=845" TargetMode="External"/><Relationship Id="rId40" Type="http://schemas.openxmlformats.org/officeDocument/2006/relationships/hyperlink" Target="http://reventdv.ru/?p=catalog&amp;sp=rotary-oven" TargetMode="External"/><Relationship Id="rId45" Type="http://schemas.openxmlformats.org/officeDocument/2006/relationships/hyperlink" Target="http://eu-mach.ru/store/173948/pechi_irtysh/" TargetMode="External"/><Relationship Id="rId66" Type="http://schemas.openxmlformats.org/officeDocument/2006/relationships/hyperlink" Target="http://eu-mach.ru/store/173948/pechi_irtysh/" TargetMode="External"/><Relationship Id="rId87" Type="http://schemas.openxmlformats.org/officeDocument/2006/relationships/hyperlink" Target="http://www.crv-bakery.ru/catalog/pechi/rotacionnye/crv/" TargetMode="External"/><Relationship Id="rId110" Type="http://schemas.openxmlformats.org/officeDocument/2006/relationships/hyperlink" Target="http://nsuh.ru/content/rotacionnye-pechi-crv-fd-100" TargetMode="External"/><Relationship Id="rId115" Type="http://schemas.openxmlformats.org/officeDocument/2006/relationships/hyperlink" Target="http://ipelican.com/ru/81041" TargetMode="External"/><Relationship Id="rId131" Type="http://schemas.openxmlformats.org/officeDocument/2006/relationships/hyperlink" Target="http://www.rproject.ru/equipment/revent/" TargetMode="External"/><Relationship Id="rId136" Type="http://schemas.openxmlformats.org/officeDocument/2006/relationships/hyperlink" Target="http://korinf-group.com/stat/rotacionnaya-pech-revent-724.html" TargetMode="External"/><Relationship Id="rId157" Type="http://schemas.openxmlformats.org/officeDocument/2006/relationships/hyperlink" Target="https://r-t.ru/pechi-rotacionnye-rotor-neva.html" TargetMode="External"/><Relationship Id="rId61" Type="http://schemas.openxmlformats.org/officeDocument/2006/relationships/hyperlink" Target="http://voskhod-saratov.ru/rus/catalog/pech_rotacionnaya_musson-rotor_99_11-01/" TargetMode="External"/><Relationship Id="rId82" Type="http://schemas.openxmlformats.org/officeDocument/2006/relationships/hyperlink" Target="http://www.fornifiorini.com/eng/prodotto.php?id_new=8&amp;id_cat=1" TargetMode="External"/><Relationship Id="rId152" Type="http://schemas.openxmlformats.org/officeDocument/2006/relationships/hyperlink" Target="http://www.fortorg.ru/tekhnologicheskoe-oborudovanie/teplovoe/pechi/rotatsionnye/irtysh/seriya-pvt" TargetMode="External"/><Relationship Id="rId19" Type="http://schemas.openxmlformats.org/officeDocument/2006/relationships/hyperlink" Target="http://nsuh.ru/content/rotacionnye-pechi-crv-fd-100" TargetMode="External"/><Relationship Id="rId14" Type="http://schemas.openxmlformats.org/officeDocument/2006/relationships/hyperlink" Target="http://www.reventrus.ru/?r=725" TargetMode="External"/><Relationship Id="rId30" Type="http://schemas.openxmlformats.org/officeDocument/2006/relationships/hyperlink" Target="http://tverzpo.ru/&#1082;&#1086;&#1085;&#1082;&#1091;&#1088;&#1077;&#1085;&#1090;&#1085;&#1099;&#1077;-&#1087;&#1088;&#1077;&#1080;&#1084;&#1091;&#1097;&#1077;&#1089;&#1090;&#1074;&#1072;/&#1086;&#1073;&#1079;&#1086;&#1088;&#1099;-&#1090;&#1077;&#1093;&#1085;&#1080;&#1095;&#1077;&#1089;&#1082;&#1080;&#1093;-&#1093;&#1072;&#1088;&#1072;&#1082;&#1090;&#1077;&#1088;&#1080;&#1089;&#1090;&#1080;&#1082;/&#1088;&#1086;&#1090;&#1086;&#1088;-&#1072;&#1075;&#1088;&#1086;-202-302/" TargetMode="External"/><Relationship Id="rId35" Type="http://schemas.openxmlformats.org/officeDocument/2006/relationships/hyperlink" Target="http://www.fornifiorini.com/eng/prodotto.php?id_new=8&amp;id_cat=1" TargetMode="External"/><Relationship Id="rId56" Type="http://schemas.openxmlformats.org/officeDocument/2006/relationships/hyperlink" Target="http://www.reventrus.ru/?r=725" TargetMode="External"/><Relationship Id="rId77" Type="http://schemas.openxmlformats.org/officeDocument/2006/relationships/hyperlink" Target="http://&#1082;&#1091;&#1084;&#1082;&#1072;&#1103;.&#1088;&#1092;/katalog/kom/lidia.pdf" TargetMode="External"/><Relationship Id="rId100" Type="http://schemas.openxmlformats.org/officeDocument/2006/relationships/hyperlink" Target="http://ipelican.com/ru/246412" TargetMode="External"/><Relationship Id="rId105" Type="http://schemas.openxmlformats.org/officeDocument/2006/relationships/hyperlink" Target="http://nsuh.ru/content/rotacionnye-pechi-crv-fd-100" TargetMode="External"/><Relationship Id="rId126" Type="http://schemas.openxmlformats.org/officeDocument/2006/relationships/hyperlink" Target="http://www.t-d.ru/catalog/item/4732/" TargetMode="External"/><Relationship Id="rId147" Type="http://schemas.openxmlformats.org/officeDocument/2006/relationships/hyperlink" Target="http://www.whitegoods.ru/goods/65075.htm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://www.miwe.de/product_baking_miwe_roll_in_eplus_ti_ru,24154.html" TargetMode="External"/><Relationship Id="rId51" Type="http://schemas.openxmlformats.org/officeDocument/2006/relationships/hyperlink" Target="http://voskhod-saratov.ru/rus/catalog/pech_rotacionnaya_musson-rotor_77M/" TargetMode="External"/><Relationship Id="rId72" Type="http://schemas.openxmlformats.org/officeDocument/2006/relationships/hyperlink" Target="http://&#1082;&#1091;&#1084;&#1082;&#1072;&#1081;&#1103;.&#1088;&#1092;/oborudovanie_dlya_vyipechki/rotatsionnyie_pechi/lider140_rotatsionnaya_pech.html" TargetMode="External"/><Relationship Id="rId93" Type="http://schemas.openxmlformats.org/officeDocument/2006/relationships/hyperlink" Target="http://palerom.ru/catalog/rubric/khlebopekarnoe-i-konditerskoe-oborudovanie-dlja-restoranov-i-magazinov/khlebopekarnye-pechi/rotatsionnye-pechi/pechi-kumkajj-turtsija/pech_lider_250/" TargetMode="External"/><Relationship Id="rId98" Type="http://schemas.openxmlformats.org/officeDocument/2006/relationships/hyperlink" Target="http://ipelican.com/ru/246412" TargetMode="External"/><Relationship Id="rId121" Type="http://schemas.openxmlformats.org/officeDocument/2006/relationships/hyperlink" Target="http://ipelican.com/ru/81039" TargetMode="External"/><Relationship Id="rId142" Type="http://schemas.openxmlformats.org/officeDocument/2006/relationships/hyperlink" Target="http://www.borodinsky.ru/hlebopekarnoe-oborudovanie/pechi-rotacionnie/688-pech-rotacionnaya-musson-rotor-99-eko.html" TargetMode="External"/><Relationship Id="rId163" Type="http://schemas.openxmlformats.org/officeDocument/2006/relationships/hyperlink" Target="http://horecaplus.ru/catalog/pechi_rotatsionnye/pech_rotatsionnaya_bassanina_rotor_68/" TargetMode="External"/><Relationship Id="rId3" Type="http://schemas.openxmlformats.org/officeDocument/2006/relationships/hyperlink" Target="http://www.whitegoods.ru/goods/48477.htm" TargetMode="External"/><Relationship Id="rId25" Type="http://schemas.openxmlformats.org/officeDocument/2006/relationships/hyperlink" Target="http://&#1082;&#1091;&#1084;&#1082;&#1072;&#1103;.&#1088;&#1092;/katalog/kom/lidia.pdf" TargetMode="External"/><Relationship Id="rId46" Type="http://schemas.openxmlformats.org/officeDocument/2006/relationships/hyperlink" Target="http://www.crv-bakery.ru/catalog/rotatsionnye/4717/" TargetMode="External"/><Relationship Id="rId67" Type="http://schemas.openxmlformats.org/officeDocument/2006/relationships/hyperlink" Target="http://www.irtysh.com.ru/catalog/bread-equipment/28.html" TargetMode="External"/><Relationship Id="rId116" Type="http://schemas.openxmlformats.org/officeDocument/2006/relationships/hyperlink" Target="http://ipelican.com/ru/81040" TargetMode="External"/><Relationship Id="rId137" Type="http://schemas.openxmlformats.org/officeDocument/2006/relationships/hyperlink" Target="http://ipelican.com/ru/178394" TargetMode="External"/><Relationship Id="rId158" Type="http://schemas.openxmlformats.org/officeDocument/2006/relationships/hyperlink" Target="https://r-t.ru/pechi-rotacionnye-rotor-neva.html" TargetMode="External"/><Relationship Id="rId20" Type="http://schemas.openxmlformats.org/officeDocument/2006/relationships/hyperlink" Target="http://www.crv-bakery.ru/catalog/rotatsionnye/3898/" TargetMode="External"/><Relationship Id="rId41" Type="http://schemas.openxmlformats.org/officeDocument/2006/relationships/hyperlink" Target="http://ipelican.com/ru/178403" TargetMode="External"/><Relationship Id="rId62" Type="http://schemas.openxmlformats.org/officeDocument/2006/relationships/hyperlink" Target="http://voskhod-saratov.ru/rus/catalog/pech_rotacionnaya_musson-rotor_99_11-01/" TargetMode="External"/><Relationship Id="rId83" Type="http://schemas.openxmlformats.org/officeDocument/2006/relationships/hyperlink" Target="http://www.fornifiorini.com/eng/prodotto.php?id_new=37&amp;id_cat=1" TargetMode="External"/><Relationship Id="rId88" Type="http://schemas.openxmlformats.org/officeDocument/2006/relationships/hyperlink" Target="http://www.crv-bakery.ru/catalog/pechi/rotacionnye/crv/" TargetMode="External"/><Relationship Id="rId111" Type="http://schemas.openxmlformats.org/officeDocument/2006/relationships/hyperlink" Target="http://ipelican.com/ru/246410" TargetMode="External"/><Relationship Id="rId132" Type="http://schemas.openxmlformats.org/officeDocument/2006/relationships/hyperlink" Target="http://korinf-group.com/stat/rotacionnaya-pech-revent-724.html" TargetMode="External"/><Relationship Id="rId153" Type="http://schemas.openxmlformats.org/officeDocument/2006/relationships/hyperlink" Target="http://www.fortorg.ru/tekhnologicheskoe-oborudovanie/teplovoe/pechi/rotatsionnye/irtysh/seriya-pv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opLeftCell="A15" workbookViewId="0">
      <selection activeCell="D22" sqref="D22"/>
    </sheetView>
  </sheetViews>
  <sheetFormatPr defaultRowHeight="11.25"/>
  <cols>
    <col min="1" max="2" width="16.7109375" style="84" customWidth="1"/>
    <col min="3" max="3" width="35.5703125" style="55" customWidth="1"/>
    <col min="4" max="4" width="37.5703125" style="55" customWidth="1"/>
    <col min="5" max="5" width="46" style="55" customWidth="1"/>
    <col min="6" max="16384" width="9.140625" style="55"/>
  </cols>
  <sheetData>
    <row r="1" spans="1:5" ht="15" customHeight="1">
      <c r="A1" s="86" t="s">
        <v>216</v>
      </c>
      <c r="B1" s="86"/>
      <c r="C1" s="86"/>
      <c r="D1" s="86"/>
      <c r="E1" s="86"/>
    </row>
    <row r="2" spans="1:5" ht="30" customHeight="1">
      <c r="A2" s="87"/>
      <c r="B2" s="87"/>
      <c r="C2" s="87"/>
      <c r="D2" s="87"/>
      <c r="E2" s="87"/>
    </row>
    <row r="3" spans="1:5" s="85" customFormat="1">
      <c r="A3" s="88" t="s">
        <v>238</v>
      </c>
      <c r="B3" s="88" t="s">
        <v>0</v>
      </c>
      <c r="C3" s="89" t="s">
        <v>217</v>
      </c>
      <c r="D3" s="89" t="s">
        <v>218</v>
      </c>
      <c r="E3" s="89" t="s">
        <v>219</v>
      </c>
    </row>
    <row r="4" spans="1:5" ht="32.25" customHeight="1">
      <c r="A4" s="68" t="s">
        <v>130</v>
      </c>
      <c r="B4" s="68" t="s">
        <v>125</v>
      </c>
      <c r="C4" s="69" t="s">
        <v>194</v>
      </c>
      <c r="D4" s="69" t="s">
        <v>209</v>
      </c>
      <c r="E4" s="69" t="s">
        <v>210</v>
      </c>
    </row>
    <row r="5" spans="1:5" ht="67.5">
      <c r="A5" s="68" t="s">
        <v>130</v>
      </c>
      <c r="B5" s="68" t="s">
        <v>126</v>
      </c>
      <c r="C5" s="69" t="s">
        <v>194</v>
      </c>
      <c r="D5" s="69" t="s">
        <v>211</v>
      </c>
      <c r="E5" s="69" t="s">
        <v>212</v>
      </c>
    </row>
    <row r="6" spans="1:5" ht="45">
      <c r="A6" s="68" t="s">
        <v>130</v>
      </c>
      <c r="B6" s="68" t="s">
        <v>127</v>
      </c>
      <c r="C6" s="70" t="s">
        <v>260</v>
      </c>
      <c r="D6" s="70" t="s">
        <v>209</v>
      </c>
      <c r="E6" s="70" t="s">
        <v>210</v>
      </c>
    </row>
    <row r="7" spans="1:5" ht="33.75">
      <c r="A7" s="68" t="s">
        <v>130</v>
      </c>
      <c r="B7" s="68" t="s">
        <v>128</v>
      </c>
      <c r="C7" s="70" t="s">
        <v>236</v>
      </c>
      <c r="D7" s="70" t="s">
        <v>211</v>
      </c>
      <c r="E7" s="70" t="s">
        <v>268</v>
      </c>
    </row>
    <row r="8" spans="1:5" ht="45">
      <c r="A8" s="68" t="s">
        <v>130</v>
      </c>
      <c r="B8" s="68" t="s">
        <v>125</v>
      </c>
      <c r="C8" s="70" t="s">
        <v>260</v>
      </c>
      <c r="D8" s="70" t="s">
        <v>209</v>
      </c>
      <c r="E8" s="70" t="s">
        <v>210</v>
      </c>
    </row>
    <row r="9" spans="1:5" ht="33.75">
      <c r="A9" s="68" t="s">
        <v>130</v>
      </c>
      <c r="B9" s="68" t="s">
        <v>126</v>
      </c>
      <c r="C9" s="70" t="s">
        <v>194</v>
      </c>
      <c r="D9" s="70" t="s">
        <v>211</v>
      </c>
      <c r="E9" s="70" t="s">
        <v>268</v>
      </c>
    </row>
    <row r="10" spans="1:5" ht="45" customHeight="1">
      <c r="A10" s="68" t="s">
        <v>130</v>
      </c>
      <c r="B10" s="68" t="s">
        <v>135</v>
      </c>
      <c r="C10" s="70" t="s">
        <v>237</v>
      </c>
      <c r="D10" s="70" t="s">
        <v>267</v>
      </c>
      <c r="E10" s="70" t="s">
        <v>269</v>
      </c>
    </row>
    <row r="11" spans="1:5" ht="67.5">
      <c r="A11" s="68" t="s">
        <v>130</v>
      </c>
      <c r="B11" s="68" t="s">
        <v>134</v>
      </c>
      <c r="C11" s="70" t="s">
        <v>237</v>
      </c>
      <c r="D11" s="70" t="s">
        <v>267</v>
      </c>
      <c r="E11" s="70" t="s">
        <v>269</v>
      </c>
    </row>
    <row r="12" spans="1:5" ht="67.5">
      <c r="A12" s="68" t="s">
        <v>130</v>
      </c>
      <c r="B12" s="68" t="s">
        <v>133</v>
      </c>
      <c r="C12" s="70" t="s">
        <v>260</v>
      </c>
      <c r="D12" s="70" t="s">
        <v>267</v>
      </c>
      <c r="E12" s="70" t="s">
        <v>269</v>
      </c>
    </row>
    <row r="13" spans="1:5" ht="39.75" customHeight="1">
      <c r="A13" s="68" t="s">
        <v>130</v>
      </c>
      <c r="B13" s="68" t="s">
        <v>135</v>
      </c>
      <c r="C13" s="70" t="s">
        <v>260</v>
      </c>
      <c r="D13" s="70" t="s">
        <v>267</v>
      </c>
      <c r="E13" s="71" t="s">
        <v>269</v>
      </c>
    </row>
    <row r="14" spans="1:5" ht="40.5" customHeight="1">
      <c r="A14" s="68" t="s">
        <v>130</v>
      </c>
      <c r="B14" s="68" t="s">
        <v>134</v>
      </c>
      <c r="C14" s="70" t="s">
        <v>260</v>
      </c>
      <c r="D14" s="70" t="s">
        <v>267</v>
      </c>
      <c r="E14" s="70" t="s">
        <v>269</v>
      </c>
    </row>
    <row r="15" spans="1:5" ht="45" customHeight="1">
      <c r="A15" s="68" t="s">
        <v>24</v>
      </c>
      <c r="B15" s="68" t="s">
        <v>25</v>
      </c>
      <c r="C15" s="69" t="s">
        <v>190</v>
      </c>
      <c r="D15" s="69" t="s">
        <v>198</v>
      </c>
      <c r="E15" s="69" t="s">
        <v>199</v>
      </c>
    </row>
    <row r="16" spans="1:5" ht="45" customHeight="1">
      <c r="A16" s="68" t="s">
        <v>24</v>
      </c>
      <c r="B16" s="68" t="s">
        <v>66</v>
      </c>
      <c r="C16" s="70" t="s">
        <v>190</v>
      </c>
      <c r="D16" s="70" t="s">
        <v>229</v>
      </c>
      <c r="E16" s="70" t="s">
        <v>230</v>
      </c>
    </row>
    <row r="17" spans="1:6" ht="15" customHeight="1">
      <c r="A17" s="68" t="s">
        <v>24</v>
      </c>
      <c r="B17" s="68" t="s">
        <v>75</v>
      </c>
      <c r="C17" s="70" t="s">
        <v>190</v>
      </c>
      <c r="D17" s="70" t="s">
        <v>213</v>
      </c>
      <c r="E17" s="70" t="s">
        <v>199</v>
      </c>
    </row>
    <row r="18" spans="1:6" ht="30" customHeight="1">
      <c r="A18" s="68" t="s">
        <v>24</v>
      </c>
      <c r="B18" s="68" t="s">
        <v>81</v>
      </c>
      <c r="C18" s="70" t="s">
        <v>266</v>
      </c>
      <c r="D18" s="70" t="s">
        <v>272</v>
      </c>
      <c r="E18" s="70" t="s">
        <v>274</v>
      </c>
    </row>
    <row r="19" spans="1:6" ht="45">
      <c r="A19" s="68" t="s">
        <v>24</v>
      </c>
      <c r="B19" s="68" t="s">
        <v>101</v>
      </c>
      <c r="C19" s="70" t="s">
        <v>266</v>
      </c>
      <c r="D19" s="70" t="s">
        <v>271</v>
      </c>
      <c r="E19" s="70" t="s">
        <v>273</v>
      </c>
    </row>
    <row r="20" spans="1:6" ht="45">
      <c r="A20" s="68" t="s">
        <v>24</v>
      </c>
      <c r="B20" s="68" t="s">
        <v>81</v>
      </c>
      <c r="C20" s="70" t="s">
        <v>266</v>
      </c>
      <c r="D20" s="70" t="s">
        <v>272</v>
      </c>
      <c r="E20" s="70" t="s">
        <v>274</v>
      </c>
    </row>
    <row r="21" spans="1:6" ht="67.5">
      <c r="A21" s="68" t="s">
        <v>141</v>
      </c>
      <c r="B21" s="72" t="s">
        <v>138</v>
      </c>
      <c r="C21" s="73" t="s">
        <v>195</v>
      </c>
      <c r="D21" s="73" t="s">
        <v>213</v>
      </c>
      <c r="E21" s="73" t="s">
        <v>214</v>
      </c>
    </row>
    <row r="22" spans="1:6" ht="67.5" customHeight="1">
      <c r="A22" s="68" t="s">
        <v>141</v>
      </c>
      <c r="B22" s="68" t="s">
        <v>144</v>
      </c>
      <c r="C22" s="70" t="s">
        <v>195</v>
      </c>
      <c r="D22" s="70" t="s">
        <v>214</v>
      </c>
      <c r="E22" s="70" t="s">
        <v>213</v>
      </c>
      <c r="F22" s="74"/>
    </row>
    <row r="23" spans="1:6" ht="67.5">
      <c r="A23" s="68" t="s">
        <v>141</v>
      </c>
      <c r="B23" s="75" t="s">
        <v>145</v>
      </c>
      <c r="C23" s="76" t="s">
        <v>195</v>
      </c>
      <c r="D23" s="76" t="s">
        <v>214</v>
      </c>
      <c r="E23" s="76" t="s">
        <v>213</v>
      </c>
    </row>
    <row r="24" spans="1:6" ht="67.5">
      <c r="A24" s="68" t="s">
        <v>141</v>
      </c>
      <c r="B24" s="68" t="s">
        <v>147</v>
      </c>
      <c r="C24" s="70" t="s">
        <v>265</v>
      </c>
      <c r="D24" s="70" t="s">
        <v>214</v>
      </c>
      <c r="E24" s="70" t="s">
        <v>270</v>
      </c>
    </row>
    <row r="25" spans="1:6" ht="67.5">
      <c r="A25" s="68" t="s">
        <v>141</v>
      </c>
      <c r="B25" s="68" t="s">
        <v>151</v>
      </c>
      <c r="C25" s="70" t="s">
        <v>265</v>
      </c>
      <c r="D25" s="70" t="s">
        <v>214</v>
      </c>
      <c r="E25" s="70" t="s">
        <v>270</v>
      </c>
    </row>
    <row r="26" spans="1:6" ht="67.5">
      <c r="A26" s="68" t="s">
        <v>141</v>
      </c>
      <c r="B26" s="68" t="s">
        <v>152</v>
      </c>
      <c r="C26" s="70" t="s">
        <v>265</v>
      </c>
      <c r="D26" s="70" t="s">
        <v>214</v>
      </c>
      <c r="E26" s="70" t="s">
        <v>270</v>
      </c>
    </row>
    <row r="27" spans="1:6" ht="45">
      <c r="A27" s="68" t="s">
        <v>30</v>
      </c>
      <c r="B27" s="68" t="s">
        <v>222</v>
      </c>
      <c r="C27" s="69" t="s">
        <v>191</v>
      </c>
      <c r="D27" s="69" t="s">
        <v>200</v>
      </c>
      <c r="E27" s="69" t="s">
        <v>201</v>
      </c>
    </row>
    <row r="28" spans="1:6" ht="56.25">
      <c r="A28" s="68" t="s">
        <v>30</v>
      </c>
      <c r="B28" s="68" t="s">
        <v>70</v>
      </c>
      <c r="C28" s="70" t="s">
        <v>200</v>
      </c>
      <c r="D28" s="70" t="s">
        <v>231</v>
      </c>
      <c r="E28" s="70" t="s">
        <v>201</v>
      </c>
    </row>
    <row r="29" spans="1:6" ht="45">
      <c r="A29" s="68" t="s">
        <v>30</v>
      </c>
      <c r="B29" s="68" t="s">
        <v>48</v>
      </c>
      <c r="C29" s="70" t="s">
        <v>231</v>
      </c>
      <c r="D29" s="70" t="s">
        <v>200</v>
      </c>
      <c r="E29" s="70" t="s">
        <v>201</v>
      </c>
    </row>
    <row r="30" spans="1:6" ht="45">
      <c r="A30" s="68" t="s">
        <v>30</v>
      </c>
      <c r="B30" s="68" t="s">
        <v>85</v>
      </c>
      <c r="C30" s="70" t="s">
        <v>231</v>
      </c>
      <c r="D30" s="70" t="s">
        <v>200</v>
      </c>
      <c r="E30" s="70" t="s">
        <v>276</v>
      </c>
    </row>
    <row r="31" spans="1:6" ht="45">
      <c r="A31" s="68" t="s">
        <v>30</v>
      </c>
      <c r="B31" s="68" t="s">
        <v>102</v>
      </c>
      <c r="C31" s="70" t="s">
        <v>231</v>
      </c>
      <c r="D31" s="70" t="s">
        <v>200</v>
      </c>
      <c r="E31" s="70" t="s">
        <v>275</v>
      </c>
    </row>
    <row r="32" spans="1:6" ht="45">
      <c r="A32" s="68" t="s">
        <v>30</v>
      </c>
      <c r="B32" s="68" t="s">
        <v>85</v>
      </c>
      <c r="C32" s="70" t="s">
        <v>231</v>
      </c>
      <c r="D32" s="70" t="s">
        <v>200</v>
      </c>
      <c r="E32" s="70" t="s">
        <v>276</v>
      </c>
    </row>
    <row r="33" spans="1:5" ht="22.5">
      <c r="A33" s="68" t="s">
        <v>34</v>
      </c>
      <c r="B33" s="68" t="s">
        <v>207</v>
      </c>
      <c r="C33" s="69" t="s">
        <v>193</v>
      </c>
      <c r="D33" s="69" t="s">
        <v>206</v>
      </c>
      <c r="E33" s="69" t="s">
        <v>208</v>
      </c>
    </row>
    <row r="34" spans="1:5" ht="33.75">
      <c r="A34" s="68" t="s">
        <v>34</v>
      </c>
      <c r="B34" s="68" t="s">
        <v>69</v>
      </c>
      <c r="C34" s="70" t="s">
        <v>233</v>
      </c>
      <c r="D34" s="70" t="s">
        <v>206</v>
      </c>
      <c r="E34" s="70" t="s">
        <v>234</v>
      </c>
    </row>
    <row r="35" spans="1:5" ht="22.5">
      <c r="A35" s="68" t="s">
        <v>34</v>
      </c>
      <c r="B35" s="68" t="s">
        <v>49</v>
      </c>
      <c r="C35" s="70" t="s">
        <v>193</v>
      </c>
      <c r="D35" s="70" t="s">
        <v>277</v>
      </c>
      <c r="E35" s="70" t="s">
        <v>208</v>
      </c>
    </row>
    <row r="36" spans="1:5" ht="33.75">
      <c r="A36" s="68" t="s">
        <v>34</v>
      </c>
      <c r="B36" s="68" t="s">
        <v>92</v>
      </c>
      <c r="C36" s="70" t="s">
        <v>261</v>
      </c>
      <c r="D36" s="70" t="s">
        <v>279</v>
      </c>
      <c r="E36" s="70" t="s">
        <v>280</v>
      </c>
    </row>
    <row r="37" spans="1:5" ht="33.75">
      <c r="A37" s="68" t="s">
        <v>34</v>
      </c>
      <c r="B37" s="68" t="s">
        <v>103</v>
      </c>
      <c r="C37" s="70" t="s">
        <v>261</v>
      </c>
      <c r="D37" s="70" t="s">
        <v>278</v>
      </c>
      <c r="E37" s="70" t="s">
        <v>280</v>
      </c>
    </row>
    <row r="38" spans="1:5" ht="33.75">
      <c r="A38" s="68" t="s">
        <v>34</v>
      </c>
      <c r="B38" s="68" t="s">
        <v>92</v>
      </c>
      <c r="C38" s="70" t="s">
        <v>261</v>
      </c>
      <c r="D38" s="70" t="s">
        <v>279</v>
      </c>
      <c r="E38" s="70" t="s">
        <v>280</v>
      </c>
    </row>
    <row r="39" spans="1:5" ht="56.25">
      <c r="A39" s="68" t="s">
        <v>239</v>
      </c>
      <c r="B39" s="68" t="s">
        <v>35</v>
      </c>
      <c r="C39" s="69" t="s">
        <v>189</v>
      </c>
      <c r="D39" s="69" t="s">
        <v>196</v>
      </c>
      <c r="E39" s="69" t="s">
        <v>197</v>
      </c>
    </row>
    <row r="40" spans="1:5" ht="135">
      <c r="A40" s="68" t="s">
        <v>239</v>
      </c>
      <c r="B40" s="68" t="s">
        <v>62</v>
      </c>
      <c r="C40" s="70" t="s">
        <v>226</v>
      </c>
      <c r="D40" s="70" t="s">
        <v>227</v>
      </c>
      <c r="E40" s="70" t="s">
        <v>228</v>
      </c>
    </row>
    <row r="41" spans="1:5" ht="56.25">
      <c r="A41" s="68" t="s">
        <v>239</v>
      </c>
      <c r="B41" s="68" t="s">
        <v>35</v>
      </c>
      <c r="C41" s="70" t="s">
        <v>189</v>
      </c>
      <c r="D41" s="69" t="s">
        <v>196</v>
      </c>
      <c r="E41" s="69" t="s">
        <v>197</v>
      </c>
    </row>
    <row r="42" spans="1:5" ht="112.5">
      <c r="A42" s="68" t="s">
        <v>239</v>
      </c>
      <c r="B42" s="68" t="s">
        <v>99</v>
      </c>
      <c r="C42" s="70" t="s">
        <v>263</v>
      </c>
      <c r="D42" s="70" t="s">
        <v>283</v>
      </c>
      <c r="E42" s="70" t="s">
        <v>288</v>
      </c>
    </row>
    <row r="43" spans="1:5" ht="123.75">
      <c r="A43" s="68" t="s">
        <v>239</v>
      </c>
      <c r="B43" s="68" t="s">
        <v>100</v>
      </c>
      <c r="C43" s="70" t="s">
        <v>262</v>
      </c>
      <c r="D43" s="70" t="s">
        <v>284</v>
      </c>
      <c r="E43" s="70" t="s">
        <v>285</v>
      </c>
    </row>
    <row r="44" spans="1:5" ht="112.5">
      <c r="A44" s="68" t="s">
        <v>239</v>
      </c>
      <c r="B44" s="68" t="s">
        <v>99</v>
      </c>
      <c r="C44" s="70" t="s">
        <v>263</v>
      </c>
      <c r="D44" s="70" t="s">
        <v>283</v>
      </c>
      <c r="E44" s="70" t="s">
        <v>288</v>
      </c>
    </row>
    <row r="45" spans="1:5" ht="57" customHeight="1">
      <c r="A45" s="77" t="s">
        <v>21</v>
      </c>
      <c r="B45" s="77" t="s">
        <v>248</v>
      </c>
      <c r="C45" s="78" t="s">
        <v>251</v>
      </c>
      <c r="D45" s="78" t="s">
        <v>282</v>
      </c>
      <c r="E45" s="78" t="s">
        <v>287</v>
      </c>
    </row>
    <row r="46" spans="1:5" ht="57" customHeight="1">
      <c r="A46" s="77" t="s">
        <v>21</v>
      </c>
      <c r="B46" s="77" t="s">
        <v>249</v>
      </c>
      <c r="C46" s="78" t="s">
        <v>250</v>
      </c>
      <c r="D46" s="78" t="s">
        <v>281</v>
      </c>
      <c r="E46" s="78" t="s">
        <v>286</v>
      </c>
    </row>
    <row r="47" spans="1:5" ht="33.75">
      <c r="A47" s="68" t="s">
        <v>240</v>
      </c>
      <c r="B47" s="68" t="s">
        <v>68</v>
      </c>
      <c r="C47" s="70" t="s">
        <v>192</v>
      </c>
      <c r="D47" s="70" t="s">
        <v>205</v>
      </c>
      <c r="E47" s="70" t="s">
        <v>232</v>
      </c>
    </row>
    <row r="48" spans="1:5" ht="30" customHeight="1">
      <c r="A48" s="68" t="s">
        <v>240</v>
      </c>
      <c r="B48" s="68" t="s">
        <v>203</v>
      </c>
      <c r="C48" s="70" t="s">
        <v>232</v>
      </c>
      <c r="D48" s="70" t="s">
        <v>192</v>
      </c>
      <c r="E48" s="70" t="s">
        <v>289</v>
      </c>
    </row>
    <row r="49" spans="1:5" ht="45">
      <c r="A49" s="68" t="s">
        <v>240</v>
      </c>
      <c r="B49" s="68" t="s">
        <v>89</v>
      </c>
      <c r="C49" s="70" t="s">
        <v>264</v>
      </c>
      <c r="D49" s="70" t="s">
        <v>192</v>
      </c>
      <c r="E49" s="70" t="s">
        <v>289</v>
      </c>
    </row>
    <row r="50" spans="1:5" ht="45">
      <c r="A50" s="68" t="s">
        <v>240</v>
      </c>
      <c r="B50" s="68" t="s">
        <v>96</v>
      </c>
      <c r="C50" s="70" t="s">
        <v>232</v>
      </c>
      <c r="D50" s="70" t="s">
        <v>192</v>
      </c>
      <c r="E50" s="70" t="s">
        <v>289</v>
      </c>
    </row>
    <row r="51" spans="1:5" ht="45">
      <c r="A51" s="68" t="s">
        <v>240</v>
      </c>
      <c r="B51" s="68" t="s">
        <v>89</v>
      </c>
      <c r="C51" s="70" t="s">
        <v>264</v>
      </c>
      <c r="D51" s="70" t="s">
        <v>192</v>
      </c>
      <c r="E51" s="70" t="s">
        <v>289</v>
      </c>
    </row>
    <row r="52" spans="1:5" ht="90">
      <c r="A52" s="68" t="s">
        <v>240</v>
      </c>
      <c r="B52" s="68" t="s">
        <v>202</v>
      </c>
      <c r="C52" s="69" t="s">
        <v>192</v>
      </c>
      <c r="D52" s="69" t="s">
        <v>204</v>
      </c>
      <c r="E52" s="69" t="s">
        <v>205</v>
      </c>
    </row>
    <row r="53" spans="1:5" ht="67.5">
      <c r="A53" s="68" t="s">
        <v>241</v>
      </c>
      <c r="B53" s="68" t="s">
        <v>1</v>
      </c>
      <c r="C53" s="79" t="s">
        <v>188</v>
      </c>
      <c r="D53" s="79"/>
      <c r="E53" s="79"/>
    </row>
    <row r="54" spans="1:5" ht="67.5">
      <c r="A54" s="68" t="s">
        <v>241</v>
      </c>
      <c r="B54" s="68" t="s">
        <v>61</v>
      </c>
      <c r="C54" s="80" t="s">
        <v>188</v>
      </c>
      <c r="D54" s="80"/>
      <c r="E54" s="80"/>
    </row>
    <row r="55" spans="1:5" ht="67.5">
      <c r="A55" s="68" t="s">
        <v>241</v>
      </c>
      <c r="B55" s="68" t="s">
        <v>74</v>
      </c>
      <c r="C55" s="80" t="s">
        <v>188</v>
      </c>
      <c r="D55" s="80"/>
      <c r="E55" s="80"/>
    </row>
    <row r="56" spans="1:5" ht="67.5">
      <c r="A56" s="68" t="s">
        <v>241</v>
      </c>
      <c r="B56" s="68" t="s">
        <v>54</v>
      </c>
      <c r="C56" s="70" t="s">
        <v>188</v>
      </c>
      <c r="D56" s="81"/>
      <c r="E56" s="81"/>
    </row>
    <row r="57" spans="1:5" ht="67.5">
      <c r="A57" s="68" t="s">
        <v>241</v>
      </c>
      <c r="B57" s="68" t="s">
        <v>67</v>
      </c>
      <c r="C57" s="70" t="s">
        <v>188</v>
      </c>
      <c r="D57" s="81"/>
      <c r="E57" s="81"/>
    </row>
    <row r="58" spans="1:5" ht="67.5">
      <c r="A58" s="68" t="s">
        <v>241</v>
      </c>
      <c r="B58" s="68" t="s">
        <v>247</v>
      </c>
      <c r="C58" s="70" t="s">
        <v>188</v>
      </c>
      <c r="D58" s="81"/>
      <c r="E58" s="81"/>
    </row>
    <row r="59" spans="1:5" ht="33.75">
      <c r="A59" s="29" t="s">
        <v>356</v>
      </c>
      <c r="B59" s="29" t="s">
        <v>355</v>
      </c>
      <c r="C59" s="78" t="s">
        <v>361</v>
      </c>
      <c r="D59" s="82"/>
      <c r="E59" s="82"/>
    </row>
    <row r="60" spans="1:5" ht="33.75">
      <c r="A60" s="29" t="s">
        <v>356</v>
      </c>
      <c r="B60" s="29" t="s">
        <v>357</v>
      </c>
      <c r="C60" s="78" t="s">
        <v>361</v>
      </c>
      <c r="D60" s="82"/>
      <c r="E60" s="82"/>
    </row>
    <row r="61" spans="1:5" ht="33.75">
      <c r="A61" s="29" t="s">
        <v>356</v>
      </c>
      <c r="B61" s="29" t="s">
        <v>357</v>
      </c>
      <c r="C61" s="78" t="s">
        <v>361</v>
      </c>
      <c r="D61" s="82"/>
      <c r="E61" s="82"/>
    </row>
    <row r="62" spans="1:5" ht="33.75">
      <c r="A62" s="29" t="s">
        <v>356</v>
      </c>
      <c r="B62" s="29" t="s">
        <v>355</v>
      </c>
      <c r="C62" s="78" t="s">
        <v>361</v>
      </c>
      <c r="D62" s="82"/>
      <c r="E62" s="82"/>
    </row>
    <row r="63" spans="1:5" ht="33.75">
      <c r="A63" s="29" t="s">
        <v>356</v>
      </c>
      <c r="B63" s="29" t="s">
        <v>357</v>
      </c>
      <c r="C63" s="78" t="s">
        <v>361</v>
      </c>
      <c r="D63" s="82"/>
      <c r="E63" s="82"/>
    </row>
    <row r="64" spans="1:5" ht="33.75">
      <c r="A64" s="29" t="s">
        <v>356</v>
      </c>
      <c r="B64" s="29" t="s">
        <v>355</v>
      </c>
      <c r="C64" s="78" t="s">
        <v>361</v>
      </c>
      <c r="D64" s="82"/>
      <c r="E64" s="82"/>
    </row>
    <row r="65" spans="1:5" ht="118.5" customHeight="1">
      <c r="A65" s="60" t="s">
        <v>367</v>
      </c>
      <c r="B65" s="83" t="s">
        <v>363</v>
      </c>
      <c r="C65" s="69" t="s">
        <v>369</v>
      </c>
      <c r="D65" s="69" t="s">
        <v>371</v>
      </c>
      <c r="E65" s="69" t="s">
        <v>372</v>
      </c>
    </row>
    <row r="66" spans="1:5" ht="132" customHeight="1">
      <c r="A66" s="60" t="s">
        <v>367</v>
      </c>
      <c r="B66" s="83" t="s">
        <v>363</v>
      </c>
      <c r="C66" s="69" t="s">
        <v>370</v>
      </c>
      <c r="D66" s="69" t="s">
        <v>371</v>
      </c>
      <c r="E66" s="69" t="s">
        <v>372</v>
      </c>
    </row>
    <row r="67" spans="1:5" ht="33.75">
      <c r="A67" s="59" t="s">
        <v>364</v>
      </c>
      <c r="B67" s="59" t="s">
        <v>365</v>
      </c>
      <c r="C67" s="69" t="s">
        <v>374</v>
      </c>
      <c r="D67" s="69" t="s">
        <v>375</v>
      </c>
      <c r="E67" s="29"/>
    </row>
    <row r="68" spans="1:5" ht="56.25">
      <c r="A68" s="59" t="s">
        <v>364</v>
      </c>
      <c r="B68" s="58" t="s">
        <v>366</v>
      </c>
      <c r="C68" s="69" t="s">
        <v>374</v>
      </c>
      <c r="D68" s="69" t="s">
        <v>376</v>
      </c>
      <c r="E68" s="29"/>
    </row>
  </sheetData>
  <autoFilter ref="A3:E3">
    <sortState ref="A4:E58">
      <sortCondition ref="A3"/>
    </sortState>
  </autoFilter>
  <mergeCells count="1">
    <mergeCell ref="A1:E2"/>
  </mergeCells>
  <hyperlinks>
    <hyperlink ref="C53" r:id="rId1"/>
    <hyperlink ref="C39" r:id="rId2"/>
    <hyperlink ref="D39" r:id="rId3"/>
    <hyperlink ref="E39" r:id="rId4"/>
    <hyperlink ref="C15" r:id="rId5"/>
    <hyperlink ref="D15" r:id="rId6"/>
    <hyperlink ref="E15" r:id="rId7"/>
    <hyperlink ref="C27" r:id="rId8"/>
    <hyperlink ref="D27" r:id="rId9"/>
    <hyperlink ref="E27" r:id="rId10"/>
    <hyperlink ref="C52" r:id="rId11"/>
    <hyperlink ref="D52" r:id="rId12"/>
    <hyperlink ref="E52" r:id="rId13"/>
    <hyperlink ref="C33" r:id="rId14"/>
    <hyperlink ref="D33" r:id="rId15"/>
    <hyperlink ref="E33" r:id="rId16"/>
    <hyperlink ref="C4" r:id="rId17"/>
    <hyperlink ref="D4" r:id="rId18"/>
    <hyperlink ref="E4" r:id="rId19"/>
    <hyperlink ref="C5" r:id="rId20"/>
    <hyperlink ref="D5" r:id="rId21"/>
    <hyperlink ref="E5" r:id="rId22"/>
    <hyperlink ref="C21" r:id="rId23"/>
    <hyperlink ref="D21" r:id="rId24"/>
    <hyperlink ref="E21" r:id="rId25"/>
    <hyperlink ref="C54" r:id="rId26"/>
    <hyperlink ref="C55" r:id="rId27"/>
    <hyperlink ref="C57" r:id="rId28"/>
    <hyperlink ref="C58" r:id="rId29"/>
    <hyperlink ref="C56" r:id="rId30"/>
    <hyperlink ref="C40" r:id="rId31"/>
    <hyperlink ref="D40" r:id="rId32"/>
    <hyperlink ref="E40" r:id="rId33"/>
    <hyperlink ref="D16" r:id="rId34"/>
    <hyperlink ref="C16" r:id="rId35"/>
    <hyperlink ref="E16" r:id="rId36"/>
    <hyperlink ref="E28" r:id="rId37"/>
    <hyperlink ref="D28" r:id="rId38"/>
    <hyperlink ref="C28" r:id="rId39"/>
    <hyperlink ref="C34" r:id="rId40"/>
    <hyperlink ref="D34" r:id="rId41"/>
    <hyperlink ref="E34" r:id="rId42"/>
    <hyperlink ref="E47" r:id="rId43"/>
    <hyperlink ref="D47" r:id="rId44"/>
    <hyperlink ref="C47" r:id="rId45"/>
    <hyperlink ref="C7" r:id="rId46"/>
    <hyperlink ref="C9" r:id="rId47"/>
    <hyperlink ref="C10" r:id="rId48"/>
    <hyperlink ref="C11" r:id="rId49"/>
    <hyperlink ref="C46" r:id="rId50"/>
    <hyperlink ref="C45" r:id="rId51"/>
    <hyperlink ref="C29" r:id="rId52"/>
    <hyperlink ref="C30" r:id="rId53"/>
    <hyperlink ref="C31" r:id="rId54"/>
    <hyperlink ref="C32" r:id="rId55"/>
    <hyperlink ref="C35" r:id="rId56"/>
    <hyperlink ref="C36" r:id="rId57"/>
    <hyperlink ref="C37" r:id="rId58"/>
    <hyperlink ref="C38" r:id="rId59"/>
    <hyperlink ref="C43" r:id="rId60"/>
    <hyperlink ref="C44" r:id="rId61"/>
    <hyperlink ref="C42" r:id="rId62"/>
    <hyperlink ref="C41" r:id="rId63"/>
    <hyperlink ref="C48" r:id="rId64"/>
    <hyperlink ref="D48" r:id="rId65"/>
    <hyperlink ref="D49" r:id="rId66"/>
    <hyperlink ref="C49" r:id="rId67"/>
    <hyperlink ref="C51" r:id="rId68"/>
    <hyperlink ref="D51" r:id="rId69"/>
    <hyperlink ref="D50" r:id="rId70"/>
    <hyperlink ref="C50" r:id="rId71"/>
    <hyperlink ref="C22" r:id="rId72"/>
    <hyperlink ref="C23" r:id="rId73"/>
    <hyperlink ref="C24" r:id="rId74"/>
    <hyperlink ref="C25" r:id="rId75"/>
    <hyperlink ref="C26" r:id="rId76"/>
    <hyperlink ref="D22" r:id="rId77"/>
    <hyperlink ref="D23" r:id="rId78"/>
    <hyperlink ref="D24" r:id="rId79"/>
    <hyperlink ref="D25" r:id="rId80"/>
    <hyperlink ref="D26" r:id="rId81"/>
    <hyperlink ref="C17" r:id="rId82"/>
    <hyperlink ref="C18" r:id="rId83"/>
    <hyperlink ref="C19" r:id="rId84"/>
    <hyperlink ref="C20" r:id="rId85"/>
    <hyperlink ref="C14" r:id="rId86"/>
    <hyperlink ref="C13" r:id="rId87"/>
    <hyperlink ref="C12" r:id="rId88"/>
    <hyperlink ref="C8" r:id="rId89"/>
    <hyperlink ref="C6" r:id="rId90"/>
    <hyperlink ref="E25" r:id="rId91"/>
    <hyperlink ref="E24" r:id="rId92"/>
    <hyperlink ref="E26" r:id="rId93"/>
    <hyperlink ref="D11" r:id="rId94"/>
    <hyperlink ref="E11" r:id="rId95"/>
    <hyperlink ref="E12" r:id="rId96"/>
    <hyperlink ref="D12" r:id="rId97"/>
    <hyperlink ref="D13" r:id="rId98"/>
    <hyperlink ref="E13" r:id="rId99"/>
    <hyperlink ref="D14" r:id="rId100"/>
    <hyperlink ref="E14" r:id="rId101"/>
    <hyperlink ref="E7" r:id="rId102"/>
    <hyperlink ref="D7" r:id="rId103"/>
    <hyperlink ref="D8" r:id="rId104"/>
    <hyperlink ref="E8" r:id="rId105"/>
    <hyperlink ref="D9" r:id="rId106"/>
    <hyperlink ref="E9" r:id="rId107"/>
    <hyperlink ref="D10" r:id="rId108"/>
    <hyperlink ref="E10" r:id="rId109"/>
    <hyperlink ref="E6" r:id="rId110"/>
    <hyperlink ref="D6" r:id="rId111"/>
    <hyperlink ref="E22" r:id="rId112"/>
    <hyperlink ref="E23" r:id="rId113"/>
    <hyperlink ref="E20" r:id="rId114"/>
    <hyperlink ref="D20" r:id="rId115"/>
    <hyperlink ref="D19" r:id="rId116"/>
    <hyperlink ref="E19" r:id="rId117"/>
    <hyperlink ref="E18" r:id="rId118"/>
    <hyperlink ref="D18" r:id="rId119"/>
    <hyperlink ref="D17" r:id="rId120"/>
    <hyperlink ref="E17" r:id="rId121"/>
    <hyperlink ref="D29" r:id="rId122"/>
    <hyperlink ref="D30" r:id="rId123"/>
    <hyperlink ref="D31" r:id="rId124"/>
    <hyperlink ref="E31" r:id="rId125"/>
    <hyperlink ref="E29" r:id="rId126"/>
    <hyperlink ref="D32" r:id="rId127"/>
    <hyperlink ref="E30" r:id="rId128"/>
    <hyperlink ref="E32" r:id="rId129"/>
    <hyperlink ref="D35" r:id="rId130"/>
    <hyperlink ref="E35" r:id="rId131"/>
    <hyperlink ref="E36" r:id="rId132"/>
    <hyperlink ref="D36" r:id="rId133"/>
    <hyperlink ref="D37" r:id="rId134"/>
    <hyperlink ref="E37" r:id="rId135"/>
    <hyperlink ref="E38" r:id="rId136"/>
    <hyperlink ref="D38" r:id="rId137"/>
    <hyperlink ref="D41" r:id="rId138"/>
    <hyperlink ref="E41" r:id="rId139"/>
    <hyperlink ref="D42" r:id="rId140"/>
    <hyperlink ref="D43" r:id="rId141"/>
    <hyperlink ref="D44" r:id="rId142"/>
    <hyperlink ref="E46" r:id="rId143"/>
    <hyperlink ref="E43" r:id="rId144"/>
    <hyperlink ref="E42" r:id="rId145"/>
    <hyperlink ref="E44" r:id="rId146"/>
    <hyperlink ref="E45" r:id="rId147"/>
    <hyperlink ref="D45" r:id="rId148"/>
    <hyperlink ref="D46" r:id="rId149"/>
    <hyperlink ref="E50" r:id="rId150"/>
    <hyperlink ref="E51" r:id="rId151"/>
    <hyperlink ref="E49" r:id="rId152"/>
    <hyperlink ref="E48" r:id="rId153"/>
    <hyperlink ref="C59" r:id="rId154"/>
    <hyperlink ref="C60" r:id="rId155"/>
    <hyperlink ref="C61" r:id="rId156"/>
    <hyperlink ref="C62" r:id="rId157"/>
    <hyperlink ref="C63" r:id="rId158"/>
    <hyperlink ref="C64" r:id="rId159"/>
    <hyperlink ref="C65" r:id="rId160"/>
    <hyperlink ref="C66" r:id="rId161"/>
    <hyperlink ref="D66" r:id="rId162"/>
    <hyperlink ref="D65" r:id="rId163"/>
    <hyperlink ref="E65" display="http://restomarkt.ru/catalog/Teplovoe/Rotatsionnie_pechi/63616/?frommarket=https%3A//market.yandex.ru/search.xml%3Fclid%3D545%26cvredirect%3D0%26text%3D%D0%BF%D0%B5%D1%87%D1%8C+%D1%80%D0%BE%D1%82%D0%B0%D1%86%D0%B8%D0%BE%D0%BD%D0%BD%D0%B0%D1%8F+bassanina+r"/>
    <hyperlink ref="E66" display="http://restomarkt.ru/catalog/Teplovoe/Rotatsionnie_pechi/63616/?frommarket=https%3A//market.yandex.ru/search.xml%3Fclid%3D545%26cvredirect%3D0%26text%3D%D0%BF%D0%B5%D1%87%D1%8C+%D1%80%D0%BE%D1%82%D0%B0%D1%86%D0%B8%D0%BE%D0%BD%D0%BD%D0%B0%D1%8F+bassanina+r"/>
    <hyperlink ref="C67" r:id="rId164"/>
    <hyperlink ref="C68" r:id="rId165"/>
    <hyperlink ref="D67" r:id="rId166"/>
    <hyperlink ref="D68" r:id="rId167"/>
  </hyperlinks>
  <pageMargins left="0.7" right="0.7" top="0.75" bottom="0.75" header="0.3" footer="0.3"/>
  <pageSetup paperSize="9"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88"/>
  <sheetViews>
    <sheetView tabSelected="1" zoomScale="80" zoomScaleNormal="80" workbookViewId="0">
      <pane xSplit="2" ySplit="2" topLeftCell="C3" activePane="bottomRight" state="frozen"/>
      <selection activeCell="D17" sqref="D17"/>
      <selection pane="topRight" activeCell="D17" sqref="D17"/>
      <selection pane="bottomLeft" activeCell="D17" sqref="D17"/>
      <selection pane="bottomRight" sqref="A1:B1"/>
    </sheetView>
  </sheetViews>
  <sheetFormatPr defaultRowHeight="11.25" outlineLevelCol="3"/>
  <cols>
    <col min="1" max="1" width="21.7109375" style="8" customWidth="1"/>
    <col min="2" max="2" width="24.85546875" style="8" customWidth="1"/>
    <col min="3" max="5" width="14" style="8" customWidth="1"/>
    <col min="6" max="6" width="20" style="8" customWidth="1"/>
    <col min="7" max="7" width="14" style="8" customWidth="1"/>
    <col min="8" max="8" width="15.42578125" style="8" customWidth="1"/>
    <col min="9" max="9" width="17.85546875" style="64" hidden="1" customWidth="1" outlineLevel="1"/>
    <col min="10" max="10" width="20.5703125" style="64" hidden="1" customWidth="1" outlineLevel="1"/>
    <col min="11" max="11" width="22.7109375" style="8" hidden="1" customWidth="1" outlineLevel="1"/>
    <col min="12" max="12" width="17.7109375" style="8" hidden="1" customWidth="1" outlineLevel="1"/>
    <col min="13" max="13" width="20.5703125" style="8" hidden="1" customWidth="1" outlineLevel="1"/>
    <col min="14" max="14" width="17.5703125" style="9" hidden="1" customWidth="1" outlineLevel="2"/>
    <col min="15" max="15" width="14.5703125" style="9" hidden="1" customWidth="1" outlineLevel="2"/>
    <col min="16" max="16" width="15.7109375" style="9" hidden="1" customWidth="1" outlineLevel="1" collapsed="1"/>
    <col min="17" max="17" width="21.28515625" style="65" hidden="1" customWidth="1" outlineLevel="1"/>
    <col min="18" max="18" width="16.28515625" style="9" hidden="1" customWidth="1" outlineLevel="2"/>
    <col min="19" max="19" width="14.28515625" style="9" hidden="1" customWidth="1" outlineLevel="2"/>
    <col min="20" max="20" width="15.5703125" style="9" hidden="1" customWidth="1" outlineLevel="2"/>
    <col min="21" max="21" width="15.85546875" style="9" hidden="1" customWidth="1" outlineLevel="2"/>
    <col min="22" max="22" width="17.85546875" style="9" hidden="1" customWidth="1" outlineLevel="1" collapsed="1"/>
    <col min="23" max="23" width="13" style="9" hidden="1" customWidth="1" outlineLevel="2"/>
    <col min="24" max="24" width="10.42578125" style="9" hidden="1" customWidth="1" outlineLevel="2"/>
    <col min="25" max="25" width="14.140625" style="9" hidden="1" customWidth="1" outlineLevel="2"/>
    <col min="26" max="26" width="14.28515625" style="9" hidden="1" customWidth="1" outlineLevel="2"/>
    <col min="27" max="27" width="17.7109375" style="9" hidden="1" customWidth="1" outlineLevel="2"/>
    <col min="28" max="28" width="17.140625" style="9" hidden="1" customWidth="1" outlineLevel="3"/>
    <col min="29" max="29" width="15" style="9" hidden="1" customWidth="1" outlineLevel="3"/>
    <col min="30" max="30" width="14.140625" style="9" hidden="1" customWidth="1" outlineLevel="3"/>
    <col min="31" max="31" width="16.42578125" style="9" hidden="1" customWidth="1" outlineLevel="3"/>
    <col min="32" max="32" width="13.140625" style="9" hidden="1" customWidth="1" outlineLevel="3"/>
    <col min="33" max="33" width="14.28515625" style="9" hidden="1" customWidth="1" outlineLevel="3"/>
    <col min="34" max="34" width="13" style="9" hidden="1" customWidth="1" outlineLevel="2" collapsed="1"/>
    <col min="35" max="35" width="14.28515625" style="9" hidden="1" customWidth="1" outlineLevel="3"/>
    <col min="36" max="36" width="9" style="9" hidden="1" customWidth="1" outlineLevel="3"/>
    <col min="37" max="37" width="11.85546875" style="9" hidden="1" customWidth="1" outlineLevel="3"/>
    <col min="38" max="38" width="8.42578125" style="9" hidden="1" customWidth="1" outlineLevel="3"/>
    <col min="39" max="39" width="9.7109375" style="9" hidden="1" customWidth="1" outlineLevel="2" collapsed="1"/>
    <col min="40" max="40" width="13.5703125" style="9" hidden="1" customWidth="1" outlineLevel="3"/>
    <col min="41" max="41" width="10.42578125" style="9" hidden="1" customWidth="1" outlineLevel="3"/>
    <col min="42" max="42" width="9.5703125" style="9" hidden="1" customWidth="1" outlineLevel="3"/>
    <col min="43" max="43" width="17.42578125" style="9" hidden="1" customWidth="1" outlineLevel="2" collapsed="1"/>
    <col min="44" max="44" width="14.5703125" style="9" hidden="1" customWidth="1" outlineLevel="3"/>
    <col min="45" max="45" width="37.28515625" style="9" hidden="1" customWidth="1" outlineLevel="3"/>
    <col min="46" max="46" width="34.140625" style="9" hidden="1" customWidth="1" outlineLevel="3"/>
    <col min="47" max="47" width="12.5703125" style="9" hidden="1" customWidth="1" outlineLevel="3"/>
    <col min="48" max="48" width="16.42578125" style="9" hidden="1" customWidth="1" outlineLevel="3"/>
    <col min="49" max="49" width="15" style="9" hidden="1" customWidth="1" outlineLevel="3"/>
    <col min="50" max="50" width="33.42578125" style="9" hidden="1" customWidth="1" outlineLevel="3"/>
    <col min="51" max="51" width="12.5703125" style="9" hidden="1" customWidth="1" outlineLevel="3"/>
    <col min="52" max="52" width="13.5703125" style="9" hidden="1" customWidth="1" outlineLevel="3"/>
    <col min="53" max="53" width="11" style="9" hidden="1" customWidth="1" outlineLevel="3"/>
    <col min="54" max="54" width="14.5703125" style="9" hidden="1" customWidth="1" outlineLevel="3"/>
    <col min="55" max="55" width="12.7109375" style="9" hidden="1" customWidth="1" outlineLevel="3"/>
    <col min="56" max="56" width="16" style="9" hidden="1" customWidth="1" outlineLevel="2" collapsed="1"/>
    <col min="57" max="57" width="13.42578125" style="9" hidden="1" customWidth="1" outlineLevel="1" collapsed="1"/>
    <col min="58" max="59" width="18.85546875" style="9" hidden="1" customWidth="1" outlineLevel="3"/>
    <col min="60" max="60" width="13.140625" style="9" hidden="1" customWidth="1" outlineLevel="3"/>
    <col min="61" max="61" width="17" style="9" hidden="1" customWidth="1" outlineLevel="3"/>
    <col min="62" max="62" width="22.5703125" style="9" hidden="1" customWidth="1" outlineLevel="1" collapsed="1"/>
    <col min="63" max="63" width="15.42578125" style="9" hidden="1" customWidth="1" outlineLevel="2"/>
    <col min="64" max="65" width="13" style="9" hidden="1" customWidth="1" outlineLevel="2"/>
    <col min="66" max="66" width="15" style="9" hidden="1" customWidth="1" outlineLevel="2"/>
    <col min="67" max="67" width="12.28515625" style="66" hidden="1" customWidth="1" outlineLevel="2"/>
    <col min="68" max="68" width="10.5703125" style="67" hidden="1" customWidth="1" outlineLevel="2"/>
    <col min="69" max="69" width="15.5703125" style="9" hidden="1" customWidth="1" outlineLevel="3"/>
    <col min="70" max="70" width="30" style="9" hidden="1" customWidth="1" outlineLevel="3"/>
    <col min="71" max="71" width="14.42578125" style="9" hidden="1" customWidth="1" outlineLevel="3"/>
    <col min="72" max="72" width="12.5703125" style="9" hidden="1" customWidth="1" outlineLevel="3"/>
    <col min="73" max="73" width="16.5703125" style="9" hidden="1" customWidth="1" outlineLevel="3"/>
    <col min="74" max="74" width="16.140625" style="9" hidden="1" customWidth="1" outlineLevel="3"/>
    <col min="75" max="75" width="25" style="9" hidden="1" customWidth="1" outlineLevel="3"/>
    <col min="76" max="76" width="14.5703125" style="9" hidden="1" customWidth="1" outlineLevel="3"/>
    <col min="77" max="77" width="15.7109375" style="9" hidden="1" customWidth="1" outlineLevel="3"/>
    <col min="78" max="78" width="17.42578125" style="9" hidden="1" customWidth="1" outlineLevel="3"/>
    <col min="79" max="79" width="15.42578125" style="9" hidden="1" customWidth="1" outlineLevel="3"/>
    <col min="80" max="80" width="16.5703125" style="9" hidden="1" customWidth="1" outlineLevel="3"/>
    <col min="81" max="81" width="13.28515625" style="9" hidden="1" customWidth="1" outlineLevel="2" collapsed="1"/>
    <col min="82" max="82" width="16.7109375" style="55" customWidth="1" collapsed="1"/>
    <col min="83" max="90" width="9.140625" style="55"/>
    <col min="91" max="16384" width="9.140625" style="9"/>
  </cols>
  <sheetData>
    <row r="1" spans="1:82" ht="60.75" customHeight="1" thickBot="1">
      <c r="A1" s="27" t="s">
        <v>298</v>
      </c>
      <c r="B1" s="27"/>
      <c r="C1" s="1" t="s">
        <v>299</v>
      </c>
      <c r="D1" s="24"/>
      <c r="E1" s="24"/>
      <c r="F1" s="24"/>
      <c r="G1" s="24"/>
      <c r="I1" s="11" t="s">
        <v>353</v>
      </c>
      <c r="J1" s="2" t="s">
        <v>311</v>
      </c>
      <c r="K1" s="3" t="s">
        <v>300</v>
      </c>
      <c r="L1" s="4"/>
      <c r="M1" s="5"/>
      <c r="N1" s="26"/>
      <c r="O1" s="26"/>
      <c r="P1" s="26"/>
      <c r="Q1" s="7" t="s">
        <v>301</v>
      </c>
      <c r="V1" s="8" t="s">
        <v>310</v>
      </c>
      <c r="W1" s="28" t="s">
        <v>252</v>
      </c>
      <c r="X1" s="28"/>
      <c r="Y1" s="28"/>
      <c r="Z1" s="28"/>
      <c r="AA1" s="28"/>
      <c r="AB1" s="28" t="s">
        <v>253</v>
      </c>
      <c r="AC1" s="28"/>
      <c r="AD1" s="28"/>
      <c r="AE1" s="28"/>
      <c r="AF1" s="28"/>
      <c r="AG1" s="28"/>
      <c r="AH1" s="26"/>
      <c r="AI1" s="28" t="s">
        <v>254</v>
      </c>
      <c r="AJ1" s="28"/>
      <c r="AK1" s="28"/>
      <c r="AL1" s="28"/>
      <c r="AM1" s="26"/>
      <c r="AN1" s="28" t="s">
        <v>256</v>
      </c>
      <c r="AO1" s="28"/>
      <c r="AP1" s="28"/>
      <c r="AQ1" s="26"/>
      <c r="AR1" s="28" t="s">
        <v>258</v>
      </c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6"/>
      <c r="BE1" s="26"/>
      <c r="BF1" s="28" t="s">
        <v>51</v>
      </c>
      <c r="BG1" s="28"/>
      <c r="BH1" s="28"/>
      <c r="BI1" s="28"/>
      <c r="BJ1" s="6" t="s">
        <v>309</v>
      </c>
      <c r="BK1" s="28"/>
      <c r="BL1" s="28"/>
      <c r="BM1" s="28"/>
      <c r="BN1" s="28"/>
      <c r="BO1" s="28"/>
      <c r="BP1" s="28"/>
      <c r="BQ1" s="28" t="s">
        <v>259</v>
      </c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6"/>
      <c r="CD1" s="8" t="s">
        <v>310</v>
      </c>
    </row>
    <row r="2" spans="1:82" s="57" customFormat="1" ht="74.25" customHeight="1" thickBot="1">
      <c r="A2" s="10" t="s">
        <v>390</v>
      </c>
      <c r="B2" s="10" t="s">
        <v>235</v>
      </c>
      <c r="C2" s="10" t="s">
        <v>0</v>
      </c>
      <c r="D2" s="10" t="s">
        <v>354</v>
      </c>
      <c r="E2" s="10" t="s">
        <v>155</v>
      </c>
      <c r="F2" s="10" t="s">
        <v>308</v>
      </c>
      <c r="G2" s="25" t="s">
        <v>293</v>
      </c>
      <c r="H2" s="10" t="s">
        <v>167</v>
      </c>
      <c r="I2" s="56">
        <v>2.5</v>
      </c>
      <c r="J2" s="11" t="s">
        <v>293</v>
      </c>
      <c r="K2" s="12" t="s">
        <v>308</v>
      </c>
      <c r="L2" s="10" t="s">
        <v>182</v>
      </c>
      <c r="M2" s="10" t="s">
        <v>302</v>
      </c>
      <c r="N2" s="10" t="s">
        <v>155</v>
      </c>
      <c r="O2" s="10" t="s">
        <v>391</v>
      </c>
      <c r="P2" s="10" t="s">
        <v>392</v>
      </c>
      <c r="Q2" s="13" t="s">
        <v>303</v>
      </c>
      <c r="R2" s="10" t="s">
        <v>168</v>
      </c>
      <c r="S2" s="10" t="s">
        <v>304</v>
      </c>
      <c r="T2" s="10" t="s">
        <v>246</v>
      </c>
      <c r="U2" s="14" t="s">
        <v>393</v>
      </c>
      <c r="V2" s="15"/>
      <c r="W2" s="10" t="s">
        <v>29</v>
      </c>
      <c r="X2" s="10" t="s">
        <v>79</v>
      </c>
      <c r="Y2" s="10" t="s">
        <v>2</v>
      </c>
      <c r="Z2" s="10" t="s">
        <v>326</v>
      </c>
      <c r="AA2" s="10" t="s">
        <v>255</v>
      </c>
      <c r="AB2" s="10" t="s">
        <v>165</v>
      </c>
      <c r="AC2" s="10" t="s">
        <v>179</v>
      </c>
      <c r="AD2" s="10" t="s">
        <v>166</v>
      </c>
      <c r="AE2" s="10" t="s">
        <v>172</v>
      </c>
      <c r="AF2" s="10" t="s">
        <v>157</v>
      </c>
      <c r="AG2" s="10" t="s">
        <v>394</v>
      </c>
      <c r="AH2" s="16" t="s">
        <v>253</v>
      </c>
      <c r="AI2" s="10" t="s">
        <v>185</v>
      </c>
      <c r="AJ2" s="10" t="s">
        <v>184</v>
      </c>
      <c r="AK2" s="10" t="s">
        <v>187</v>
      </c>
      <c r="AL2" s="10" t="s">
        <v>186</v>
      </c>
      <c r="AM2" s="17" t="s">
        <v>254</v>
      </c>
      <c r="AN2" s="10" t="s">
        <v>7</v>
      </c>
      <c r="AO2" s="10" t="s">
        <v>153</v>
      </c>
      <c r="AP2" s="10" t="s">
        <v>8</v>
      </c>
      <c r="AQ2" s="18" t="s">
        <v>257</v>
      </c>
      <c r="AR2" s="10" t="s">
        <v>3</v>
      </c>
      <c r="AS2" s="10" t="s">
        <v>4</v>
      </c>
      <c r="AT2" s="10" t="s">
        <v>71</v>
      </c>
      <c r="AU2" s="10" t="s">
        <v>6</v>
      </c>
      <c r="AV2" s="10" t="s">
        <v>19</v>
      </c>
      <c r="AW2" s="10" t="s">
        <v>9</v>
      </c>
      <c r="AX2" s="10" t="s">
        <v>11</v>
      </c>
      <c r="AY2" s="10" t="s">
        <v>154</v>
      </c>
      <c r="AZ2" s="10" t="s">
        <v>12</v>
      </c>
      <c r="BA2" s="10" t="s">
        <v>13</v>
      </c>
      <c r="BB2" s="10" t="s">
        <v>15</v>
      </c>
      <c r="BC2" s="10" t="s">
        <v>14</v>
      </c>
      <c r="BD2" s="19" t="s">
        <v>258</v>
      </c>
      <c r="BE2" s="19" t="s">
        <v>312</v>
      </c>
      <c r="BF2" s="10" t="s">
        <v>395</v>
      </c>
      <c r="BG2" s="10" t="s">
        <v>396</v>
      </c>
      <c r="BH2" s="10" t="s">
        <v>242</v>
      </c>
      <c r="BI2" s="10" t="s">
        <v>243</v>
      </c>
      <c r="BJ2" s="20" t="s">
        <v>313</v>
      </c>
      <c r="BK2" s="10" t="s">
        <v>28</v>
      </c>
      <c r="BL2" s="10" t="s">
        <v>290</v>
      </c>
      <c r="BM2" s="10" t="s">
        <v>136</v>
      </c>
      <c r="BN2" s="10" t="s">
        <v>137</v>
      </c>
      <c r="BO2" s="11" t="s">
        <v>156</v>
      </c>
      <c r="BP2" s="21" t="s">
        <v>183</v>
      </c>
      <c r="BQ2" s="10" t="s">
        <v>113</v>
      </c>
      <c r="BR2" s="10" t="s">
        <v>33</v>
      </c>
      <c r="BS2" s="10" t="s">
        <v>39</v>
      </c>
      <c r="BT2" s="10" t="s">
        <v>41</v>
      </c>
      <c r="BU2" s="10" t="s">
        <v>42</v>
      </c>
      <c r="BV2" s="22" t="s">
        <v>43</v>
      </c>
      <c r="BW2" s="10" t="s">
        <v>44</v>
      </c>
      <c r="BX2" s="10" t="s">
        <v>45</v>
      </c>
      <c r="BY2" s="10" t="s">
        <v>112</v>
      </c>
      <c r="BZ2" s="10" t="s">
        <v>114</v>
      </c>
      <c r="CA2" s="10" t="s">
        <v>115</v>
      </c>
      <c r="CB2" s="10" t="s">
        <v>118</v>
      </c>
      <c r="CC2" s="23" t="s">
        <v>259</v>
      </c>
    </row>
    <row r="3" spans="1:82" ht="45">
      <c r="A3" s="58" t="s">
        <v>20</v>
      </c>
      <c r="B3" s="58" t="s">
        <v>294</v>
      </c>
      <c r="C3" s="29" t="s">
        <v>244</v>
      </c>
      <c r="D3" s="30">
        <v>180</v>
      </c>
      <c r="E3" s="31">
        <f t="shared" ref="E3:E34" si="0">N3</f>
        <v>990000</v>
      </c>
      <c r="F3" s="32">
        <f t="shared" ref="F3:F34" si="1">(P3+R3)/(0.8*BP3*S3/0.2)</f>
        <v>0.73108076891462515</v>
      </c>
      <c r="G3" s="33">
        <f t="shared" ref="G3:G34" si="2">IF(I3-K3&gt;0,Q3/(30*(I3-K3)*BG3),100-Q3/(30*(I3-K3)*BG3))</f>
        <v>8.2049471981733415</v>
      </c>
      <c r="H3" s="34">
        <f t="shared" ref="H3:H34" si="3">S3*BP3/(P3+R3)</f>
        <v>0.34195948057990116</v>
      </c>
      <c r="I3" s="35">
        <f t="shared" ref="I3:I34" si="4">$I$2</f>
        <v>2.5</v>
      </c>
      <c r="J3" s="36">
        <f t="shared" ref="J3:J34" si="5">IF(I3-K3&gt;0,Q3/(30*(I3-K3)*BG3),100-Q3/(30*(I3-K3)*BG3))</f>
        <v>8.2049471981733415</v>
      </c>
      <c r="K3" s="32">
        <f t="shared" ref="K3:K34" si="6">(P3+R3)/(0.8*BP3*S3/0.2)</f>
        <v>0.73108076891462515</v>
      </c>
      <c r="L3" s="34">
        <f t="shared" ref="L3:L34" si="7">S3/(P3+R3)</f>
        <v>0.31839802661070871</v>
      </c>
      <c r="M3" s="32">
        <f t="shared" ref="M3:M34" si="8">(P3+R3)/(0.8*S3/0.2)</f>
        <v>0.78518074581430752</v>
      </c>
      <c r="N3" s="31">
        <v>990000</v>
      </c>
      <c r="O3" s="31">
        <f>N3*0.9</f>
        <v>891000</v>
      </c>
      <c r="P3" s="31">
        <f t="shared" ref="P3:P34" si="9">AB3+AC3+AE3+U3+AD3</f>
        <v>325939.20000000001</v>
      </c>
      <c r="Q3" s="37">
        <f t="shared" ref="Q3:Q34" si="10">(N3+O3)/2</f>
        <v>940500</v>
      </c>
      <c r="R3" s="31">
        <f t="shared" ref="R3:R34" si="11">Q3*18%</f>
        <v>169290</v>
      </c>
      <c r="S3" s="31">
        <f t="shared" ref="S3:S34" si="12">BF3*365*12*0.2</f>
        <v>157680</v>
      </c>
      <c r="T3" s="38">
        <v>0.09</v>
      </c>
      <c r="U3" s="31">
        <f t="shared" ref="U3:U34" si="13">Q3*T3</f>
        <v>84645</v>
      </c>
      <c r="V3" s="30"/>
      <c r="W3" s="30">
        <v>7</v>
      </c>
      <c r="X3" s="30"/>
      <c r="Y3" s="30">
        <v>25</v>
      </c>
      <c r="Z3" s="30"/>
      <c r="AA3" s="30">
        <v>2.2000000000000002</v>
      </c>
      <c r="AB3" s="31">
        <f t="shared" ref="AB3:AB34" si="14">W3*365*12*AL3</f>
        <v>183960</v>
      </c>
      <c r="AC3" s="31">
        <f t="shared" ref="AC3:AC34" si="15">X3*365*12*AK3</f>
        <v>0</v>
      </c>
      <c r="AD3" s="31">
        <f t="shared" ref="AD3:AD34" si="16">Y3*365*12*AJ3</f>
        <v>2409</v>
      </c>
      <c r="AE3" s="31">
        <f t="shared" ref="AE3:AE34" si="17">AA3*365*12*AI3</f>
        <v>54925.200000000012</v>
      </c>
      <c r="AF3" s="30">
        <f t="shared" ref="AF3:AF34" si="18">AA3*365*12</f>
        <v>9636.0000000000018</v>
      </c>
      <c r="AG3" s="31">
        <f t="shared" ref="AG3:AG34" si="19">AF3*AI3</f>
        <v>54925.200000000012</v>
      </c>
      <c r="AH3" s="30"/>
      <c r="AI3" s="30">
        <v>5.7</v>
      </c>
      <c r="AJ3" s="30">
        <v>2.1999999999999999E-2</v>
      </c>
      <c r="AK3" s="30"/>
      <c r="AL3" s="30">
        <v>6</v>
      </c>
      <c r="AM3" s="30"/>
      <c r="AN3" s="29" t="s">
        <v>109</v>
      </c>
      <c r="AO3" s="30">
        <v>13.072150499999999</v>
      </c>
      <c r="AP3" s="30">
        <v>1850</v>
      </c>
      <c r="AQ3" s="30"/>
      <c r="AR3" s="30">
        <v>78.900000000000006</v>
      </c>
      <c r="AS3" s="30" t="s">
        <v>5</v>
      </c>
      <c r="AT3" s="30"/>
      <c r="AU3" s="30" t="s">
        <v>56</v>
      </c>
      <c r="AV3" s="30">
        <v>20</v>
      </c>
      <c r="AW3" s="30" t="s">
        <v>57</v>
      </c>
      <c r="AX3" s="30" t="s">
        <v>181</v>
      </c>
      <c r="AY3" s="30">
        <v>28</v>
      </c>
      <c r="AZ3" s="30">
        <v>1</v>
      </c>
      <c r="BA3" s="30" t="s">
        <v>59</v>
      </c>
      <c r="BB3" s="30">
        <v>11.9</v>
      </c>
      <c r="BC3" s="30">
        <v>100</v>
      </c>
      <c r="BD3" s="30"/>
      <c r="BE3" s="30"/>
      <c r="BF3" s="30">
        <v>180</v>
      </c>
      <c r="BG3" s="30">
        <f t="shared" ref="BG3:BG34" si="20">BF3*12</f>
        <v>2160</v>
      </c>
      <c r="BH3" s="30">
        <v>270</v>
      </c>
      <c r="BI3" s="30">
        <v>452</v>
      </c>
      <c r="BJ3" s="30">
        <f t="shared" ref="BJ3:BJ34" si="21">BG3*365</f>
        <v>788400</v>
      </c>
      <c r="BK3" s="30">
        <v>8</v>
      </c>
      <c r="BL3" s="30">
        <v>8</v>
      </c>
      <c r="BM3" s="30">
        <v>4.4000000000000004</v>
      </c>
      <c r="BN3" s="30">
        <v>11.7</v>
      </c>
      <c r="BO3" s="35">
        <f t="shared" ref="BO3:BO34" si="22">(BM3+BL3+BK3)/3</f>
        <v>6.8</v>
      </c>
      <c r="BP3" s="32">
        <f t="shared" ref="BP3:BP34" si="23">1+(BO3+BK3)/200</f>
        <v>1.0740000000000001</v>
      </c>
      <c r="BQ3" s="30" t="s">
        <v>27</v>
      </c>
      <c r="BR3" s="30" t="s">
        <v>38</v>
      </c>
      <c r="BS3" s="30" t="s">
        <v>40</v>
      </c>
      <c r="BT3" s="30" t="s">
        <v>40</v>
      </c>
      <c r="BU3" s="30" t="s">
        <v>40</v>
      </c>
      <c r="BV3" s="30"/>
      <c r="BW3" s="30" t="s">
        <v>117</v>
      </c>
      <c r="BX3" s="30"/>
      <c r="BY3" s="30"/>
      <c r="BZ3" s="30"/>
      <c r="CA3" s="30" t="s">
        <v>116</v>
      </c>
      <c r="CB3" s="30"/>
      <c r="CC3" s="30"/>
    </row>
    <row r="4" spans="1:82" ht="45">
      <c r="A4" s="58" t="s">
        <v>20</v>
      </c>
      <c r="B4" s="58" t="s">
        <v>295</v>
      </c>
      <c r="C4" s="29" t="s">
        <v>244</v>
      </c>
      <c r="D4" s="30">
        <v>150</v>
      </c>
      <c r="E4" s="31">
        <f t="shared" si="0"/>
        <v>890000</v>
      </c>
      <c r="F4" s="32">
        <f t="shared" si="1"/>
        <v>0.73755325119257154</v>
      </c>
      <c r="G4" s="33">
        <f t="shared" si="2"/>
        <v>8.8839038217762312</v>
      </c>
      <c r="H4" s="34">
        <f t="shared" si="3"/>
        <v>0.33895857634112198</v>
      </c>
      <c r="I4" s="35">
        <f t="shared" si="4"/>
        <v>2.5</v>
      </c>
      <c r="J4" s="36">
        <f t="shared" si="5"/>
        <v>8.8839038217762312</v>
      </c>
      <c r="K4" s="32">
        <f t="shared" si="6"/>
        <v>0.73755325119257154</v>
      </c>
      <c r="L4" s="34">
        <f t="shared" si="7"/>
        <v>0.31560388858577465</v>
      </c>
      <c r="M4" s="32">
        <f t="shared" si="8"/>
        <v>0.79213219178082195</v>
      </c>
      <c r="N4" s="31">
        <v>890000</v>
      </c>
      <c r="O4" s="31">
        <f>N4*0.9</f>
        <v>801000</v>
      </c>
      <c r="P4" s="31">
        <f t="shared" si="9"/>
        <v>264154.68</v>
      </c>
      <c r="Q4" s="37">
        <f t="shared" si="10"/>
        <v>845500</v>
      </c>
      <c r="R4" s="31">
        <f t="shared" si="11"/>
        <v>152190</v>
      </c>
      <c r="S4" s="31">
        <f t="shared" si="12"/>
        <v>131400</v>
      </c>
      <c r="T4" s="38">
        <v>0.09</v>
      </c>
      <c r="U4" s="31">
        <f t="shared" si="13"/>
        <v>76095</v>
      </c>
      <c r="V4" s="30"/>
      <c r="W4" s="30">
        <v>5</v>
      </c>
      <c r="X4" s="30"/>
      <c r="Y4" s="30">
        <v>18</v>
      </c>
      <c r="Z4" s="30"/>
      <c r="AA4" s="30">
        <v>2.2000000000000002</v>
      </c>
      <c r="AB4" s="31">
        <f t="shared" si="14"/>
        <v>131400</v>
      </c>
      <c r="AC4" s="31">
        <f t="shared" si="15"/>
        <v>0</v>
      </c>
      <c r="AD4" s="31">
        <f t="shared" si="16"/>
        <v>1734.4799999999998</v>
      </c>
      <c r="AE4" s="31">
        <f t="shared" si="17"/>
        <v>54925.200000000012</v>
      </c>
      <c r="AF4" s="30">
        <f t="shared" si="18"/>
        <v>9636.0000000000018</v>
      </c>
      <c r="AG4" s="31">
        <f t="shared" si="19"/>
        <v>54925.200000000012</v>
      </c>
      <c r="AH4" s="30"/>
      <c r="AI4" s="30">
        <v>5.7</v>
      </c>
      <c r="AJ4" s="30">
        <v>2.1999999999999999E-2</v>
      </c>
      <c r="AK4" s="30"/>
      <c r="AL4" s="30">
        <v>6</v>
      </c>
      <c r="AM4" s="30"/>
      <c r="AN4" s="30" t="s">
        <v>159</v>
      </c>
      <c r="AO4" s="30">
        <v>11.559948</v>
      </c>
      <c r="AP4" s="30">
        <v>1600</v>
      </c>
      <c r="AQ4" s="30"/>
      <c r="AR4" s="30">
        <v>69.3</v>
      </c>
      <c r="AS4" s="30" t="s">
        <v>5</v>
      </c>
      <c r="AT4" s="30"/>
      <c r="AU4" s="30" t="s">
        <v>18</v>
      </c>
      <c r="AV4" s="30">
        <v>17</v>
      </c>
      <c r="AW4" s="30" t="s">
        <v>10</v>
      </c>
      <c r="AX4" s="30" t="s">
        <v>17</v>
      </c>
      <c r="AY4" s="30">
        <v>28</v>
      </c>
      <c r="AZ4" s="30">
        <v>1</v>
      </c>
      <c r="BA4" s="30" t="s">
        <v>16</v>
      </c>
      <c r="BB4" s="30">
        <v>8.6999999999999993</v>
      </c>
      <c r="BC4" s="30">
        <v>100</v>
      </c>
      <c r="BD4" s="30"/>
      <c r="BE4" s="30"/>
      <c r="BF4" s="30">
        <v>150</v>
      </c>
      <c r="BG4" s="30">
        <f t="shared" si="20"/>
        <v>1800</v>
      </c>
      <c r="BH4" s="30">
        <v>216</v>
      </c>
      <c r="BI4" s="30">
        <v>380</v>
      </c>
      <c r="BJ4" s="30">
        <f t="shared" si="21"/>
        <v>657000</v>
      </c>
      <c r="BK4" s="30">
        <v>8</v>
      </c>
      <c r="BL4" s="30">
        <v>8</v>
      </c>
      <c r="BM4" s="30">
        <v>4.4000000000000004</v>
      </c>
      <c r="BN4" s="30">
        <v>11.7</v>
      </c>
      <c r="BO4" s="35">
        <f t="shared" si="22"/>
        <v>6.8</v>
      </c>
      <c r="BP4" s="32">
        <f t="shared" si="23"/>
        <v>1.0740000000000001</v>
      </c>
      <c r="BQ4" s="30" t="s">
        <v>27</v>
      </c>
      <c r="BR4" s="30" t="s">
        <v>38</v>
      </c>
      <c r="BS4" s="30" t="s">
        <v>40</v>
      </c>
      <c r="BT4" s="30" t="s">
        <v>40</v>
      </c>
      <c r="BU4" s="30" t="s">
        <v>40</v>
      </c>
      <c r="BV4" s="30"/>
      <c r="BW4" s="30" t="s">
        <v>117</v>
      </c>
      <c r="BX4" s="30"/>
      <c r="BY4" s="30"/>
      <c r="BZ4" s="30"/>
      <c r="CA4" s="30" t="s">
        <v>116</v>
      </c>
      <c r="CB4" s="30"/>
      <c r="CC4" s="30"/>
    </row>
    <row r="5" spans="1:82" ht="45">
      <c r="A5" s="29" t="s">
        <v>362</v>
      </c>
      <c r="B5" s="29" t="s">
        <v>357</v>
      </c>
      <c r="C5" s="29" t="s">
        <v>244</v>
      </c>
      <c r="D5" s="29">
        <v>180</v>
      </c>
      <c r="E5" s="31">
        <f t="shared" si="0"/>
        <v>1020000</v>
      </c>
      <c r="F5" s="32">
        <f t="shared" si="1"/>
        <v>0.75260445453489</v>
      </c>
      <c r="G5" s="33">
        <f t="shared" si="2"/>
        <v>8.7829125249012812</v>
      </c>
      <c r="H5" s="34">
        <f t="shared" si="3"/>
        <v>0.33217980373833977</v>
      </c>
      <c r="I5" s="35">
        <f t="shared" si="4"/>
        <v>2.5</v>
      </c>
      <c r="J5" s="36">
        <f t="shared" si="5"/>
        <v>8.7829125249012812</v>
      </c>
      <c r="K5" s="32">
        <f t="shared" si="6"/>
        <v>0.75260445453489</v>
      </c>
      <c r="L5" s="34">
        <f t="shared" si="7"/>
        <v>0.30929218225171301</v>
      </c>
      <c r="M5" s="32">
        <f t="shared" si="8"/>
        <v>0.80829718417047181</v>
      </c>
      <c r="N5" s="31">
        <v>1020000</v>
      </c>
      <c r="O5" s="30">
        <f>N5*0.95</f>
        <v>969000</v>
      </c>
      <c r="P5" s="31">
        <f t="shared" si="9"/>
        <v>330799.2</v>
      </c>
      <c r="Q5" s="39">
        <f t="shared" si="10"/>
        <v>994500</v>
      </c>
      <c r="R5" s="30">
        <f t="shared" si="11"/>
        <v>179010</v>
      </c>
      <c r="S5" s="31">
        <f t="shared" si="12"/>
        <v>157680</v>
      </c>
      <c r="T5" s="38">
        <v>0.09</v>
      </c>
      <c r="U5" s="31">
        <f t="shared" si="13"/>
        <v>89505</v>
      </c>
      <c r="V5" s="30"/>
      <c r="W5" s="30">
        <v>7</v>
      </c>
      <c r="X5" s="30"/>
      <c r="Y5" s="30">
        <v>25</v>
      </c>
      <c r="Z5" s="30"/>
      <c r="AA5" s="30">
        <v>2.2000000000000002</v>
      </c>
      <c r="AB5" s="31">
        <f t="shared" si="14"/>
        <v>183960</v>
      </c>
      <c r="AC5" s="31">
        <f t="shared" si="15"/>
        <v>0</v>
      </c>
      <c r="AD5" s="31">
        <f t="shared" si="16"/>
        <v>2409</v>
      </c>
      <c r="AE5" s="31">
        <f t="shared" si="17"/>
        <v>54925.200000000012</v>
      </c>
      <c r="AF5" s="30">
        <f t="shared" si="18"/>
        <v>9636.0000000000018</v>
      </c>
      <c r="AG5" s="31">
        <f t="shared" si="19"/>
        <v>54925.200000000012</v>
      </c>
      <c r="AH5" s="30"/>
      <c r="AI5" s="30">
        <v>5.7</v>
      </c>
      <c r="AJ5" s="30">
        <v>2.1999999999999999E-2</v>
      </c>
      <c r="AK5" s="30"/>
      <c r="AL5" s="30">
        <v>6</v>
      </c>
      <c r="AM5" s="30"/>
      <c r="AN5" s="30" t="s">
        <v>360</v>
      </c>
      <c r="AO5" s="30">
        <v>14.25</v>
      </c>
      <c r="AP5" s="30">
        <v>1800</v>
      </c>
      <c r="AQ5" s="30"/>
      <c r="AR5" s="30">
        <v>78.900000000000006</v>
      </c>
      <c r="AS5" s="30"/>
      <c r="AT5" s="30"/>
      <c r="AU5" s="30" t="s">
        <v>56</v>
      </c>
      <c r="AV5" s="30">
        <v>20</v>
      </c>
      <c r="AW5" s="30"/>
      <c r="AX5" s="30"/>
      <c r="AY5" s="30"/>
      <c r="AZ5" s="30">
        <v>1</v>
      </c>
      <c r="BA5" s="30" t="s">
        <v>59</v>
      </c>
      <c r="BB5" s="30">
        <v>11</v>
      </c>
      <c r="BC5" s="30"/>
      <c r="BD5" s="30"/>
      <c r="BE5" s="30"/>
      <c r="BF5" s="30">
        <v>180</v>
      </c>
      <c r="BG5" s="30">
        <f t="shared" si="20"/>
        <v>2160</v>
      </c>
      <c r="BH5" s="30">
        <v>270</v>
      </c>
      <c r="BI5" s="30">
        <v>452</v>
      </c>
      <c r="BJ5" s="30">
        <f t="shared" si="21"/>
        <v>788400</v>
      </c>
      <c r="BK5" s="30">
        <v>8</v>
      </c>
      <c r="BL5" s="30">
        <v>8</v>
      </c>
      <c r="BM5" s="30">
        <v>4.4000000000000004</v>
      </c>
      <c r="BN5" s="30">
        <v>11.7</v>
      </c>
      <c r="BO5" s="35">
        <f t="shared" si="22"/>
        <v>6.8</v>
      </c>
      <c r="BP5" s="32">
        <f t="shared" si="23"/>
        <v>1.0740000000000001</v>
      </c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</row>
    <row r="6" spans="1:82" ht="45">
      <c r="A6" s="29" t="s">
        <v>362</v>
      </c>
      <c r="B6" s="29" t="s">
        <v>355</v>
      </c>
      <c r="C6" s="29" t="s">
        <v>244</v>
      </c>
      <c r="D6" s="29">
        <v>150</v>
      </c>
      <c r="E6" s="31">
        <f t="shared" si="0"/>
        <v>900000</v>
      </c>
      <c r="F6" s="32">
        <f t="shared" si="1"/>
        <v>0.7528589831892043</v>
      </c>
      <c r="G6" s="33">
        <f t="shared" si="2"/>
        <v>9.3009092246386054</v>
      </c>
      <c r="H6" s="34">
        <f t="shared" si="3"/>
        <v>0.33206749946845143</v>
      </c>
      <c r="I6" s="35">
        <f t="shared" si="4"/>
        <v>2.5</v>
      </c>
      <c r="J6" s="36">
        <f t="shared" si="5"/>
        <v>9.3009092246386054</v>
      </c>
      <c r="K6" s="32">
        <f t="shared" si="6"/>
        <v>0.7528589831892043</v>
      </c>
      <c r="L6" s="34">
        <f t="shared" si="7"/>
        <v>0.30918761589241289</v>
      </c>
      <c r="M6" s="32">
        <f t="shared" si="8"/>
        <v>0.80857054794520544</v>
      </c>
      <c r="N6" s="31">
        <v>900000</v>
      </c>
      <c r="O6" s="30">
        <f>N6*0.95</f>
        <v>855000</v>
      </c>
      <c r="P6" s="31">
        <f t="shared" si="9"/>
        <v>267034.68</v>
      </c>
      <c r="Q6" s="39">
        <f t="shared" si="10"/>
        <v>877500</v>
      </c>
      <c r="R6" s="30">
        <f t="shared" si="11"/>
        <v>157950</v>
      </c>
      <c r="S6" s="31">
        <f t="shared" si="12"/>
        <v>131400</v>
      </c>
      <c r="T6" s="38">
        <v>0.09</v>
      </c>
      <c r="U6" s="31">
        <f t="shared" si="13"/>
        <v>78975</v>
      </c>
      <c r="V6" s="30"/>
      <c r="W6" s="30">
        <v>5</v>
      </c>
      <c r="X6" s="30"/>
      <c r="Y6" s="30">
        <v>18</v>
      </c>
      <c r="Z6" s="30"/>
      <c r="AA6" s="30">
        <v>2.2000000000000002</v>
      </c>
      <c r="AB6" s="31">
        <f t="shared" si="14"/>
        <v>131400</v>
      </c>
      <c r="AC6" s="31">
        <f t="shared" si="15"/>
        <v>0</v>
      </c>
      <c r="AD6" s="31">
        <f t="shared" si="16"/>
        <v>1734.4799999999998</v>
      </c>
      <c r="AE6" s="31">
        <f t="shared" si="17"/>
        <v>54925.200000000012</v>
      </c>
      <c r="AF6" s="30">
        <f t="shared" si="18"/>
        <v>9636.0000000000018</v>
      </c>
      <c r="AG6" s="31">
        <f t="shared" si="19"/>
        <v>54925.200000000012</v>
      </c>
      <c r="AH6" s="30"/>
      <c r="AI6" s="30">
        <v>5.7</v>
      </c>
      <c r="AJ6" s="30">
        <v>2.1999999999999999E-2</v>
      </c>
      <c r="AK6" s="30"/>
      <c r="AL6" s="30">
        <v>6</v>
      </c>
      <c r="AM6" s="30"/>
      <c r="AN6" s="30" t="s">
        <v>359</v>
      </c>
      <c r="AO6" s="30">
        <v>11.9</v>
      </c>
      <c r="AP6" s="30">
        <v>1500</v>
      </c>
      <c r="AQ6" s="30"/>
      <c r="AR6" s="30">
        <v>69.3</v>
      </c>
      <c r="AS6" s="30"/>
      <c r="AT6" s="30"/>
      <c r="AU6" s="30" t="s">
        <v>56</v>
      </c>
      <c r="AV6" s="30">
        <v>17</v>
      </c>
      <c r="AW6" s="30"/>
      <c r="AX6" s="30"/>
      <c r="AY6" s="30"/>
      <c r="AZ6" s="30">
        <v>1</v>
      </c>
      <c r="BA6" s="30" t="s">
        <v>64</v>
      </c>
      <c r="BB6" s="30">
        <v>8.6</v>
      </c>
      <c r="BC6" s="30"/>
      <c r="BD6" s="30"/>
      <c r="BE6" s="30"/>
      <c r="BF6" s="30">
        <v>150</v>
      </c>
      <c r="BG6" s="30">
        <f t="shared" si="20"/>
        <v>1800</v>
      </c>
      <c r="BH6" s="30">
        <v>216</v>
      </c>
      <c r="BI6" s="30">
        <v>380</v>
      </c>
      <c r="BJ6" s="30">
        <f t="shared" si="21"/>
        <v>657000</v>
      </c>
      <c r="BK6" s="30">
        <v>8</v>
      </c>
      <c r="BL6" s="30">
        <v>8</v>
      </c>
      <c r="BM6" s="30">
        <v>4.4000000000000004</v>
      </c>
      <c r="BN6" s="30">
        <v>11.7</v>
      </c>
      <c r="BO6" s="35">
        <f t="shared" si="22"/>
        <v>6.8</v>
      </c>
      <c r="BP6" s="32">
        <f t="shared" si="23"/>
        <v>1.0740000000000001</v>
      </c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</row>
    <row r="7" spans="1:82" ht="45">
      <c r="A7" s="29" t="s">
        <v>379</v>
      </c>
      <c r="B7" s="29" t="s">
        <v>382</v>
      </c>
      <c r="C7" s="29" t="s">
        <v>244</v>
      </c>
      <c r="D7" s="29">
        <v>180</v>
      </c>
      <c r="E7" s="31">
        <f t="shared" si="0"/>
        <v>1121618</v>
      </c>
      <c r="F7" s="32">
        <f t="shared" si="1"/>
        <v>0.77354231119881933</v>
      </c>
      <c r="G7" s="33">
        <f t="shared" si="2"/>
        <v>8.6220885019143712</v>
      </c>
      <c r="H7" s="34">
        <f t="shared" si="3"/>
        <v>0.32318852683385263</v>
      </c>
      <c r="I7" s="35">
        <f t="shared" si="4"/>
        <v>2.5</v>
      </c>
      <c r="J7" s="36">
        <f t="shared" si="5"/>
        <v>8.6220885019143712</v>
      </c>
      <c r="K7" s="32">
        <f t="shared" si="6"/>
        <v>0.77354231119881933</v>
      </c>
      <c r="L7" s="34">
        <f t="shared" si="7"/>
        <v>0.30833696311068781</v>
      </c>
      <c r="M7" s="32">
        <f t="shared" si="8"/>
        <v>0.81080126585489587</v>
      </c>
      <c r="N7" s="31">
        <v>1121618</v>
      </c>
      <c r="O7" s="31">
        <f>N7*0.72</f>
        <v>807564.96</v>
      </c>
      <c r="P7" s="31">
        <f t="shared" si="9"/>
        <v>337762.10799999995</v>
      </c>
      <c r="Q7" s="37">
        <f t="shared" si="10"/>
        <v>964591.48</v>
      </c>
      <c r="R7" s="31">
        <f t="shared" si="11"/>
        <v>173626.46639999998</v>
      </c>
      <c r="S7" s="31">
        <f t="shared" si="12"/>
        <v>157680</v>
      </c>
      <c r="T7" s="38">
        <v>0.1</v>
      </c>
      <c r="U7" s="31">
        <f t="shared" si="13"/>
        <v>96459.148000000001</v>
      </c>
      <c r="V7" s="30"/>
      <c r="W7" s="30">
        <v>6.5</v>
      </c>
      <c r="X7" s="30"/>
      <c r="Y7" s="30">
        <v>6</v>
      </c>
      <c r="Z7" s="30">
        <v>2.8</v>
      </c>
      <c r="AA7" s="30">
        <v>2.8</v>
      </c>
      <c r="AB7" s="31">
        <f t="shared" si="14"/>
        <v>170820</v>
      </c>
      <c r="AC7" s="31">
        <f t="shared" si="15"/>
        <v>0</v>
      </c>
      <c r="AD7" s="31">
        <f t="shared" si="16"/>
        <v>578.16</v>
      </c>
      <c r="AE7" s="31">
        <f t="shared" si="17"/>
        <v>69904.799999999988</v>
      </c>
      <c r="AF7" s="30">
        <f t="shared" si="18"/>
        <v>12263.999999999998</v>
      </c>
      <c r="AG7" s="31">
        <f t="shared" si="19"/>
        <v>69904.799999999988</v>
      </c>
      <c r="AH7" s="30"/>
      <c r="AI7" s="30">
        <v>5.7</v>
      </c>
      <c r="AJ7" s="30">
        <v>2.1999999999999999E-2</v>
      </c>
      <c r="AK7" s="30">
        <v>34</v>
      </c>
      <c r="AL7" s="30">
        <v>6</v>
      </c>
      <c r="AM7" s="30"/>
      <c r="AN7" s="30" t="s">
        <v>384</v>
      </c>
      <c r="AO7" s="30">
        <v>10.7</v>
      </c>
      <c r="AP7" s="30"/>
      <c r="AQ7" s="30"/>
      <c r="AR7" s="30">
        <v>2.8</v>
      </c>
      <c r="AS7" s="30" t="s">
        <v>386</v>
      </c>
      <c r="AT7" s="30"/>
      <c r="AU7" s="30"/>
      <c r="AV7" s="30"/>
      <c r="AW7" s="30"/>
      <c r="AX7" s="30" t="s">
        <v>387</v>
      </c>
      <c r="AY7" s="30"/>
      <c r="AZ7" s="30">
        <v>1</v>
      </c>
      <c r="BA7" s="30" t="s">
        <v>388</v>
      </c>
      <c r="BB7" s="30">
        <v>10.7</v>
      </c>
      <c r="BC7" s="30"/>
      <c r="BD7" s="30"/>
      <c r="BE7" s="30"/>
      <c r="BF7" s="30">
        <v>180</v>
      </c>
      <c r="BG7" s="30">
        <f t="shared" si="20"/>
        <v>2160</v>
      </c>
      <c r="BH7" s="30"/>
      <c r="BI7" s="30"/>
      <c r="BJ7" s="30">
        <f t="shared" si="21"/>
        <v>788400</v>
      </c>
      <c r="BK7" s="30">
        <v>5</v>
      </c>
      <c r="BL7" s="30">
        <v>6</v>
      </c>
      <c r="BM7" s="30">
        <v>2.9</v>
      </c>
      <c r="BN7" s="30">
        <v>1.8</v>
      </c>
      <c r="BO7" s="35">
        <f t="shared" si="22"/>
        <v>4.6333333333333337</v>
      </c>
      <c r="BP7" s="32">
        <f t="shared" si="23"/>
        <v>1.0481666666666667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</row>
    <row r="8" spans="1:82" ht="45">
      <c r="A8" s="58" t="s">
        <v>21</v>
      </c>
      <c r="B8" s="58" t="s">
        <v>35</v>
      </c>
      <c r="C8" s="29" t="s">
        <v>244</v>
      </c>
      <c r="D8" s="30">
        <v>180</v>
      </c>
      <c r="E8" s="31">
        <f t="shared" si="0"/>
        <v>990000</v>
      </c>
      <c r="F8" s="32">
        <f t="shared" si="1"/>
        <v>0.77787003346934047</v>
      </c>
      <c r="G8" s="33">
        <f t="shared" si="2"/>
        <v>8.6496568916583794</v>
      </c>
      <c r="H8" s="34">
        <f t="shared" si="3"/>
        <v>0.32139044987372384</v>
      </c>
      <c r="I8" s="35">
        <f t="shared" si="4"/>
        <v>2.5</v>
      </c>
      <c r="J8" s="36">
        <f t="shared" si="5"/>
        <v>8.6496568916583794</v>
      </c>
      <c r="K8" s="32">
        <f t="shared" si="6"/>
        <v>0.77787003346934047</v>
      </c>
      <c r="L8" s="34">
        <f t="shared" si="7"/>
        <v>0.30182230384134345</v>
      </c>
      <c r="M8" s="32">
        <f t="shared" si="8"/>
        <v>0.82830194063926943</v>
      </c>
      <c r="N8" s="31">
        <v>990000</v>
      </c>
      <c r="O8" s="31">
        <f>N8*0.95</f>
        <v>940500</v>
      </c>
      <c r="P8" s="31">
        <f t="shared" si="9"/>
        <v>348681.60000000003</v>
      </c>
      <c r="Q8" s="37">
        <f t="shared" si="10"/>
        <v>965250</v>
      </c>
      <c r="R8" s="31">
        <f t="shared" si="11"/>
        <v>173745</v>
      </c>
      <c r="S8" s="31">
        <f t="shared" si="12"/>
        <v>157680</v>
      </c>
      <c r="T8" s="38">
        <v>0.1</v>
      </c>
      <c r="U8" s="31">
        <f t="shared" si="13"/>
        <v>96525</v>
      </c>
      <c r="V8" s="30"/>
      <c r="W8" s="30">
        <v>6.5</v>
      </c>
      <c r="X8" s="30"/>
      <c r="Y8" s="30">
        <v>15</v>
      </c>
      <c r="Z8" s="30"/>
      <c r="AA8" s="30">
        <v>3.2</v>
      </c>
      <c r="AB8" s="31">
        <f t="shared" si="14"/>
        <v>170820</v>
      </c>
      <c r="AC8" s="31">
        <f t="shared" si="15"/>
        <v>0</v>
      </c>
      <c r="AD8" s="31">
        <f t="shared" si="16"/>
        <v>1445.3999999999999</v>
      </c>
      <c r="AE8" s="31">
        <f t="shared" si="17"/>
        <v>79891.199999999997</v>
      </c>
      <c r="AF8" s="30">
        <f t="shared" si="18"/>
        <v>14016</v>
      </c>
      <c r="AG8" s="31">
        <f t="shared" si="19"/>
        <v>79891.199999999997</v>
      </c>
      <c r="AH8" s="30"/>
      <c r="AI8" s="30">
        <v>5.7</v>
      </c>
      <c r="AJ8" s="30">
        <v>2.1999999999999999E-2</v>
      </c>
      <c r="AK8" s="30"/>
      <c r="AL8" s="30">
        <v>6</v>
      </c>
      <c r="AM8" s="30"/>
      <c r="AN8" s="30" t="s">
        <v>158</v>
      </c>
      <c r="AO8" s="30">
        <v>10.42219255</v>
      </c>
      <c r="AP8" s="30">
        <v>1750</v>
      </c>
      <c r="AQ8" s="30"/>
      <c r="AR8" s="30">
        <v>75</v>
      </c>
      <c r="AS8" s="30" t="s">
        <v>22</v>
      </c>
      <c r="AT8" s="30"/>
      <c r="AU8" s="30" t="s">
        <v>60</v>
      </c>
      <c r="AV8" s="30">
        <v>20</v>
      </c>
      <c r="AW8" s="30" t="s">
        <v>37</v>
      </c>
      <c r="AX8" s="30" t="s">
        <v>23</v>
      </c>
      <c r="AY8" s="30">
        <v>24</v>
      </c>
      <c r="AZ8" s="30">
        <v>1</v>
      </c>
      <c r="BA8" s="30" t="s">
        <v>36</v>
      </c>
      <c r="BB8" s="30">
        <v>9.6999999999999993</v>
      </c>
      <c r="BC8" s="30">
        <v>100</v>
      </c>
      <c r="BD8" s="30"/>
      <c r="BE8" s="30"/>
      <c r="BF8" s="30">
        <v>180</v>
      </c>
      <c r="BG8" s="30">
        <f t="shared" si="20"/>
        <v>2160</v>
      </c>
      <c r="BH8" s="30">
        <v>252</v>
      </c>
      <c r="BI8" s="30">
        <v>432</v>
      </c>
      <c r="BJ8" s="30">
        <f t="shared" si="21"/>
        <v>788400</v>
      </c>
      <c r="BK8" s="30">
        <v>7</v>
      </c>
      <c r="BL8" s="30">
        <v>7</v>
      </c>
      <c r="BM8" s="30">
        <v>3.9</v>
      </c>
      <c r="BN8" s="30">
        <v>28.4</v>
      </c>
      <c r="BO8" s="35">
        <f t="shared" si="22"/>
        <v>5.9666666666666659</v>
      </c>
      <c r="BP8" s="32">
        <f t="shared" si="23"/>
        <v>1.0648333333333333</v>
      </c>
      <c r="BQ8" s="30" t="s">
        <v>305</v>
      </c>
      <c r="BR8" s="30"/>
      <c r="BS8" s="30"/>
      <c r="BT8" s="30"/>
      <c r="BU8" s="30"/>
      <c r="BV8" s="30"/>
      <c r="BW8" s="30" t="s">
        <v>53</v>
      </c>
      <c r="BX8" s="30"/>
      <c r="BY8" s="30"/>
      <c r="BZ8" s="30"/>
      <c r="CA8" s="30"/>
      <c r="CB8" s="30"/>
      <c r="CC8" s="30"/>
    </row>
    <row r="9" spans="1:82" ht="45">
      <c r="A9" s="59" t="s">
        <v>364</v>
      </c>
      <c r="B9" s="58" t="s">
        <v>366</v>
      </c>
      <c r="C9" s="29" t="s">
        <v>244</v>
      </c>
      <c r="D9" s="29">
        <v>180</v>
      </c>
      <c r="E9" s="31">
        <f t="shared" si="0"/>
        <v>1146719</v>
      </c>
      <c r="F9" s="32">
        <f t="shared" si="1"/>
        <v>0.7796920545606465</v>
      </c>
      <c r="G9" s="33">
        <f t="shared" si="2"/>
        <v>9.2580243089618666</v>
      </c>
      <c r="H9" s="34">
        <f t="shared" si="3"/>
        <v>0.32063940954339215</v>
      </c>
      <c r="I9" s="35">
        <f t="shared" si="4"/>
        <v>2.5</v>
      </c>
      <c r="J9" s="36">
        <f t="shared" si="5"/>
        <v>9.2580243089618666</v>
      </c>
      <c r="K9" s="32">
        <f t="shared" si="6"/>
        <v>0.7796920545606465</v>
      </c>
      <c r="L9" s="34">
        <f t="shared" si="7"/>
        <v>0.29859327289466908</v>
      </c>
      <c r="M9" s="32">
        <f t="shared" si="8"/>
        <v>0.83725931792237429</v>
      </c>
      <c r="N9" s="40">
        <v>1146719</v>
      </c>
      <c r="O9" s="30">
        <f>N9*0.8</f>
        <v>917375.20000000007</v>
      </c>
      <c r="P9" s="31">
        <f t="shared" si="9"/>
        <v>342307.71899999998</v>
      </c>
      <c r="Q9" s="37">
        <f t="shared" si="10"/>
        <v>1032047.1000000001</v>
      </c>
      <c r="R9" s="31">
        <f t="shared" si="11"/>
        <v>185768.478</v>
      </c>
      <c r="S9" s="31">
        <f t="shared" si="12"/>
        <v>157680</v>
      </c>
      <c r="T9" s="38">
        <v>0.09</v>
      </c>
      <c r="U9" s="31">
        <f t="shared" si="13"/>
        <v>92884.239000000001</v>
      </c>
      <c r="V9" s="30"/>
      <c r="W9" s="30">
        <v>8</v>
      </c>
      <c r="X9" s="30"/>
      <c r="Y9" s="30">
        <v>18</v>
      </c>
      <c r="Z9" s="30"/>
      <c r="AA9" s="30">
        <v>1.5</v>
      </c>
      <c r="AB9" s="31">
        <f t="shared" si="14"/>
        <v>210240</v>
      </c>
      <c r="AC9" s="31">
        <f t="shared" si="15"/>
        <v>0</v>
      </c>
      <c r="AD9" s="31">
        <f t="shared" si="16"/>
        <v>1734.4799999999998</v>
      </c>
      <c r="AE9" s="31">
        <f t="shared" si="17"/>
        <v>37449</v>
      </c>
      <c r="AF9" s="30">
        <f t="shared" si="18"/>
        <v>6570</v>
      </c>
      <c r="AG9" s="31">
        <f t="shared" si="19"/>
        <v>37449</v>
      </c>
      <c r="AH9" s="30"/>
      <c r="AI9" s="30">
        <v>5.7</v>
      </c>
      <c r="AJ9" s="30">
        <v>2.1999999999999999E-2</v>
      </c>
      <c r="AK9" s="30"/>
      <c r="AL9" s="30">
        <v>6</v>
      </c>
      <c r="AM9" s="30"/>
      <c r="AN9" s="30"/>
      <c r="AO9" s="30">
        <v>6.23</v>
      </c>
      <c r="AP9" s="30">
        <v>1380</v>
      </c>
      <c r="AQ9" s="30"/>
      <c r="AR9" s="30">
        <v>55</v>
      </c>
      <c r="AS9" s="30"/>
      <c r="AT9" s="30"/>
      <c r="AU9" s="30" t="s">
        <v>56</v>
      </c>
      <c r="AV9" s="30"/>
      <c r="AW9" s="30"/>
      <c r="AX9" s="30"/>
      <c r="AY9" s="30">
        <v>18</v>
      </c>
      <c r="AZ9" s="30">
        <v>1</v>
      </c>
      <c r="BA9" s="30" t="s">
        <v>16</v>
      </c>
      <c r="BB9" s="30"/>
      <c r="BC9" s="30"/>
      <c r="BD9" s="30"/>
      <c r="BE9" s="30"/>
      <c r="BF9" s="30">
        <v>180</v>
      </c>
      <c r="BG9" s="30">
        <f t="shared" si="20"/>
        <v>2160</v>
      </c>
      <c r="BH9" s="30">
        <v>416</v>
      </c>
      <c r="BI9" s="30">
        <v>833</v>
      </c>
      <c r="BJ9" s="30">
        <f t="shared" si="21"/>
        <v>788400</v>
      </c>
      <c r="BK9" s="30">
        <v>8</v>
      </c>
      <c r="BL9" s="30">
        <v>8</v>
      </c>
      <c r="BM9" s="30">
        <v>4.3</v>
      </c>
      <c r="BN9" s="30">
        <v>6.3</v>
      </c>
      <c r="BO9" s="35">
        <f t="shared" si="22"/>
        <v>6.7666666666666666</v>
      </c>
      <c r="BP9" s="32">
        <f t="shared" si="23"/>
        <v>1.0738333333333334</v>
      </c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</row>
    <row r="10" spans="1:82" ht="45">
      <c r="A10" s="29" t="s">
        <v>379</v>
      </c>
      <c r="B10" s="29" t="s">
        <v>383</v>
      </c>
      <c r="C10" s="29" t="s">
        <v>244</v>
      </c>
      <c r="D10" s="29">
        <v>216</v>
      </c>
      <c r="E10" s="31">
        <f t="shared" si="0"/>
        <v>1392900</v>
      </c>
      <c r="F10" s="32">
        <f t="shared" si="1"/>
        <v>0.7821179099648029</v>
      </c>
      <c r="G10" s="33">
        <f t="shared" si="2"/>
        <v>8.96744632327073</v>
      </c>
      <c r="H10" s="34">
        <f t="shared" si="3"/>
        <v>0.31964489856938655</v>
      </c>
      <c r="I10" s="35">
        <f t="shared" si="4"/>
        <v>2.5</v>
      </c>
      <c r="J10" s="36">
        <f t="shared" si="5"/>
        <v>8.96744632327073</v>
      </c>
      <c r="K10" s="32">
        <f t="shared" si="6"/>
        <v>0.7821179099648029</v>
      </c>
      <c r="L10" s="34">
        <f t="shared" si="7"/>
        <v>0.30495617608782305</v>
      </c>
      <c r="M10" s="32">
        <f t="shared" si="8"/>
        <v>0.81978992262810757</v>
      </c>
      <c r="N10" s="31">
        <v>1392900</v>
      </c>
      <c r="O10" s="31">
        <f>N10*0.72</f>
        <v>1002888</v>
      </c>
      <c r="P10" s="31">
        <f t="shared" si="9"/>
        <v>404848.56</v>
      </c>
      <c r="Q10" s="37">
        <f t="shared" si="10"/>
        <v>1197894</v>
      </c>
      <c r="R10" s="31">
        <f t="shared" si="11"/>
        <v>215620.91999999998</v>
      </c>
      <c r="S10" s="31">
        <f t="shared" si="12"/>
        <v>189216</v>
      </c>
      <c r="T10" s="38">
        <v>0.1</v>
      </c>
      <c r="U10" s="31">
        <f t="shared" si="13"/>
        <v>119789.40000000001</v>
      </c>
      <c r="V10" s="30"/>
      <c r="W10" s="30">
        <v>7.5</v>
      </c>
      <c r="X10" s="30"/>
      <c r="Y10" s="30">
        <v>6</v>
      </c>
      <c r="Z10" s="30">
        <v>3.5</v>
      </c>
      <c r="AA10" s="30">
        <v>3.5</v>
      </c>
      <c r="AB10" s="31">
        <f t="shared" si="14"/>
        <v>197100</v>
      </c>
      <c r="AC10" s="31">
        <f t="shared" si="15"/>
        <v>0</v>
      </c>
      <c r="AD10" s="31">
        <f t="shared" si="16"/>
        <v>578.16</v>
      </c>
      <c r="AE10" s="31">
        <f t="shared" si="17"/>
        <v>87381</v>
      </c>
      <c r="AF10" s="30">
        <f t="shared" si="18"/>
        <v>15330</v>
      </c>
      <c r="AG10" s="31">
        <f t="shared" si="19"/>
        <v>87381</v>
      </c>
      <c r="AH10" s="30"/>
      <c r="AI10" s="30">
        <v>5.7</v>
      </c>
      <c r="AJ10" s="30">
        <v>2.1999999999999999E-2</v>
      </c>
      <c r="AK10" s="30">
        <v>34</v>
      </c>
      <c r="AL10" s="30">
        <v>6</v>
      </c>
      <c r="AM10" s="30"/>
      <c r="AN10" s="30" t="s">
        <v>385</v>
      </c>
      <c r="AO10" s="30">
        <v>12.96</v>
      </c>
      <c r="AP10" s="30"/>
      <c r="AQ10" s="30"/>
      <c r="AR10" s="30">
        <v>3.5</v>
      </c>
      <c r="AS10" s="30" t="s">
        <v>386</v>
      </c>
      <c r="AT10" s="30"/>
      <c r="AU10" s="30"/>
      <c r="AV10" s="30"/>
      <c r="AW10" s="30"/>
      <c r="AX10" s="30" t="s">
        <v>387</v>
      </c>
      <c r="AY10" s="30"/>
      <c r="AZ10" s="30">
        <v>1</v>
      </c>
      <c r="BA10" s="30" t="s">
        <v>389</v>
      </c>
      <c r="BB10" s="30">
        <v>12.96</v>
      </c>
      <c r="BC10" s="30"/>
      <c r="BD10" s="30"/>
      <c r="BE10" s="30"/>
      <c r="BF10" s="30">
        <v>216</v>
      </c>
      <c r="BG10" s="30">
        <f t="shared" si="20"/>
        <v>2592</v>
      </c>
      <c r="BH10" s="30"/>
      <c r="BI10" s="30"/>
      <c r="BJ10" s="30">
        <f t="shared" si="21"/>
        <v>946080</v>
      </c>
      <c r="BK10" s="30">
        <v>5</v>
      </c>
      <c r="BL10" s="30">
        <v>6</v>
      </c>
      <c r="BM10" s="30">
        <v>2.9</v>
      </c>
      <c r="BN10" s="30">
        <v>1.8</v>
      </c>
      <c r="BO10" s="35">
        <f t="shared" si="22"/>
        <v>4.6333333333333337</v>
      </c>
      <c r="BP10" s="32">
        <f t="shared" si="23"/>
        <v>1.0481666666666667</v>
      </c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</row>
    <row r="11" spans="1:82" ht="45">
      <c r="A11" s="58" t="s">
        <v>24</v>
      </c>
      <c r="B11" s="58" t="s">
        <v>81</v>
      </c>
      <c r="C11" s="29" t="s">
        <v>244</v>
      </c>
      <c r="D11" s="30">
        <v>180</v>
      </c>
      <c r="E11" s="31">
        <f t="shared" si="0"/>
        <v>1268250</v>
      </c>
      <c r="F11" s="32">
        <f t="shared" si="1"/>
        <v>0.80198028266137111</v>
      </c>
      <c r="G11" s="33">
        <f t="shared" si="2"/>
        <v>10.373603529728937</v>
      </c>
      <c r="H11" s="34">
        <f t="shared" si="3"/>
        <v>0.31172836216169197</v>
      </c>
      <c r="I11" s="35">
        <f t="shared" si="4"/>
        <v>2.5</v>
      </c>
      <c r="J11" s="36">
        <f t="shared" si="5"/>
        <v>10.373603529728937</v>
      </c>
      <c r="K11" s="32">
        <f t="shared" si="6"/>
        <v>0.80198028266137111</v>
      </c>
      <c r="L11" s="34">
        <f t="shared" si="7"/>
        <v>0.29029492052928008</v>
      </c>
      <c r="M11" s="32">
        <f t="shared" si="8"/>
        <v>0.86119316019786907</v>
      </c>
      <c r="N11" s="31">
        <v>1268250</v>
      </c>
      <c r="O11" s="31">
        <f>N11*0.8</f>
        <v>1014600</v>
      </c>
      <c r="P11" s="31">
        <f t="shared" si="9"/>
        <v>337715.25</v>
      </c>
      <c r="Q11" s="37">
        <f t="shared" si="10"/>
        <v>1141425</v>
      </c>
      <c r="R11" s="31">
        <f t="shared" si="11"/>
        <v>205456.5</v>
      </c>
      <c r="S11" s="31">
        <f t="shared" si="12"/>
        <v>157680</v>
      </c>
      <c r="T11" s="38">
        <v>0.09</v>
      </c>
      <c r="U11" s="31">
        <f t="shared" si="13"/>
        <v>102728.25</v>
      </c>
      <c r="V11" s="30"/>
      <c r="W11" s="30">
        <v>6</v>
      </c>
      <c r="X11" s="30"/>
      <c r="Y11" s="30">
        <v>25</v>
      </c>
      <c r="Z11" s="30"/>
      <c r="AA11" s="30">
        <v>3</v>
      </c>
      <c r="AB11" s="31">
        <f t="shared" si="14"/>
        <v>157680</v>
      </c>
      <c r="AC11" s="31">
        <f t="shared" si="15"/>
        <v>0</v>
      </c>
      <c r="AD11" s="31">
        <f t="shared" si="16"/>
        <v>2409</v>
      </c>
      <c r="AE11" s="31">
        <f t="shared" si="17"/>
        <v>74898</v>
      </c>
      <c r="AF11" s="30">
        <f t="shared" si="18"/>
        <v>13140</v>
      </c>
      <c r="AG11" s="31">
        <f t="shared" si="19"/>
        <v>74898</v>
      </c>
      <c r="AH11" s="30"/>
      <c r="AI11" s="30">
        <v>5.7</v>
      </c>
      <c r="AJ11" s="30">
        <v>2.1999999999999999E-2</v>
      </c>
      <c r="AK11" s="30"/>
      <c r="AL11" s="30">
        <v>6</v>
      </c>
      <c r="AM11" s="30"/>
      <c r="AN11" s="30" t="s">
        <v>83</v>
      </c>
      <c r="AO11" s="30">
        <v>8.9911799999999999</v>
      </c>
      <c r="AP11" s="30">
        <v>1800</v>
      </c>
      <c r="AQ11" s="30"/>
      <c r="AR11" s="30" t="s">
        <v>84</v>
      </c>
      <c r="AS11" s="30" t="s">
        <v>55</v>
      </c>
      <c r="AT11" s="30"/>
      <c r="AU11" s="30" t="s">
        <v>46</v>
      </c>
      <c r="AV11" s="30">
        <v>20</v>
      </c>
      <c r="AW11" s="30" t="s">
        <v>55</v>
      </c>
      <c r="AX11" s="30" t="s">
        <v>55</v>
      </c>
      <c r="AY11" s="30"/>
      <c r="AZ11" s="30">
        <v>1</v>
      </c>
      <c r="BA11" s="30" t="s">
        <v>82</v>
      </c>
      <c r="BB11" s="30"/>
      <c r="BC11" s="30">
        <v>100</v>
      </c>
      <c r="BD11" s="30"/>
      <c r="BE11" s="30"/>
      <c r="BF11" s="30">
        <v>180</v>
      </c>
      <c r="BG11" s="30">
        <f t="shared" si="20"/>
        <v>2160</v>
      </c>
      <c r="BH11" s="30"/>
      <c r="BI11" s="30"/>
      <c r="BJ11" s="30">
        <f t="shared" si="21"/>
        <v>788400</v>
      </c>
      <c r="BK11" s="30">
        <v>8</v>
      </c>
      <c r="BL11" s="30">
        <v>8</v>
      </c>
      <c r="BM11" s="30">
        <v>4.3</v>
      </c>
      <c r="BN11" s="30">
        <v>6.3</v>
      </c>
      <c r="BO11" s="35">
        <f t="shared" si="22"/>
        <v>6.7666666666666666</v>
      </c>
      <c r="BP11" s="32">
        <f t="shared" si="23"/>
        <v>1.0738333333333334</v>
      </c>
      <c r="BQ11" s="30" t="s">
        <v>305</v>
      </c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</row>
    <row r="12" spans="1:82" ht="45">
      <c r="A12" s="60" t="s">
        <v>367</v>
      </c>
      <c r="B12" s="60" t="s">
        <v>363</v>
      </c>
      <c r="C12" s="58" t="s">
        <v>244</v>
      </c>
      <c r="D12" s="29">
        <v>180</v>
      </c>
      <c r="E12" s="31">
        <f t="shared" si="0"/>
        <v>1258960</v>
      </c>
      <c r="F12" s="32">
        <f t="shared" si="1"/>
        <v>0.83451297893646925</v>
      </c>
      <c r="G12" s="33">
        <f t="shared" si="2"/>
        <v>10.498764225967848</v>
      </c>
      <c r="H12" s="34">
        <f t="shared" si="3"/>
        <v>0.29957592788863296</v>
      </c>
      <c r="I12" s="35">
        <f t="shared" si="4"/>
        <v>2.5</v>
      </c>
      <c r="J12" s="36">
        <f t="shared" si="5"/>
        <v>10.498764225967848</v>
      </c>
      <c r="K12" s="32">
        <f t="shared" si="6"/>
        <v>0.83451297893646925</v>
      </c>
      <c r="L12" s="34">
        <f t="shared" si="7"/>
        <v>0.27897804863135151</v>
      </c>
      <c r="M12" s="32">
        <f t="shared" si="8"/>
        <v>0.89612785388127858</v>
      </c>
      <c r="N12" s="40">
        <v>1258960</v>
      </c>
      <c r="O12" s="30">
        <f>N12*0.8</f>
        <v>1007168</v>
      </c>
      <c r="P12" s="31">
        <f t="shared" si="9"/>
        <v>361254.24</v>
      </c>
      <c r="Q12" s="37">
        <f t="shared" si="10"/>
        <v>1133064</v>
      </c>
      <c r="R12" s="31">
        <f t="shared" si="11"/>
        <v>203951.52</v>
      </c>
      <c r="S12" s="31">
        <f t="shared" si="12"/>
        <v>157680</v>
      </c>
      <c r="T12" s="38">
        <v>0.09</v>
      </c>
      <c r="U12" s="31">
        <f t="shared" si="13"/>
        <v>101975.76</v>
      </c>
      <c r="V12" s="30"/>
      <c r="W12" s="30">
        <v>6</v>
      </c>
      <c r="X12" s="30"/>
      <c r="Y12" s="30">
        <v>18</v>
      </c>
      <c r="Z12" s="30"/>
      <c r="AA12" s="30">
        <v>4</v>
      </c>
      <c r="AB12" s="31">
        <f t="shared" si="14"/>
        <v>157680</v>
      </c>
      <c r="AC12" s="31">
        <f t="shared" si="15"/>
        <v>0</v>
      </c>
      <c r="AD12" s="31">
        <f t="shared" si="16"/>
        <v>1734.4799999999998</v>
      </c>
      <c r="AE12" s="31">
        <f t="shared" si="17"/>
        <v>99864</v>
      </c>
      <c r="AF12" s="30">
        <f t="shared" si="18"/>
        <v>17520</v>
      </c>
      <c r="AG12" s="31">
        <f t="shared" si="19"/>
        <v>99864</v>
      </c>
      <c r="AH12" s="30"/>
      <c r="AI12" s="30">
        <v>5.7</v>
      </c>
      <c r="AJ12" s="30">
        <v>2.1999999999999999E-2</v>
      </c>
      <c r="AK12" s="30"/>
      <c r="AL12" s="30">
        <v>6</v>
      </c>
      <c r="AM12" s="30"/>
      <c r="AN12" s="41" t="s">
        <v>368</v>
      </c>
      <c r="AO12" s="30">
        <v>6.11</v>
      </c>
      <c r="AP12" s="30">
        <v>1600</v>
      </c>
      <c r="AQ12" s="30"/>
      <c r="AR12" s="30">
        <v>58</v>
      </c>
      <c r="AS12" s="30"/>
      <c r="AT12" s="30"/>
      <c r="AU12" s="30" t="s">
        <v>56</v>
      </c>
      <c r="AV12" s="30"/>
      <c r="AW12" s="30"/>
      <c r="AX12" s="30"/>
      <c r="AY12" s="30">
        <v>18</v>
      </c>
      <c r="AZ12" s="30">
        <v>1</v>
      </c>
      <c r="BA12" s="30" t="s">
        <v>16</v>
      </c>
      <c r="BB12" s="30"/>
      <c r="BC12" s="30"/>
      <c r="BD12" s="30"/>
      <c r="BE12" s="30"/>
      <c r="BF12" s="30">
        <v>180</v>
      </c>
      <c r="BG12" s="30">
        <f t="shared" si="20"/>
        <v>2160</v>
      </c>
      <c r="BH12" s="30">
        <v>416</v>
      </c>
      <c r="BI12" s="30">
        <v>833</v>
      </c>
      <c r="BJ12" s="30">
        <f t="shared" si="21"/>
        <v>788400</v>
      </c>
      <c r="BK12" s="30">
        <v>8</v>
      </c>
      <c r="BL12" s="30">
        <v>8</v>
      </c>
      <c r="BM12" s="30">
        <v>4.3</v>
      </c>
      <c r="BN12" s="30">
        <v>6.3</v>
      </c>
      <c r="BO12" s="35">
        <f t="shared" si="22"/>
        <v>6.7666666666666666</v>
      </c>
      <c r="BP12" s="32">
        <f t="shared" si="23"/>
        <v>1.0738333333333334</v>
      </c>
      <c r="BQ12" s="30" t="s">
        <v>305</v>
      </c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</row>
    <row r="13" spans="1:82" ht="45">
      <c r="A13" s="58" t="s">
        <v>21</v>
      </c>
      <c r="B13" s="58" t="s">
        <v>99</v>
      </c>
      <c r="C13" s="29" t="s">
        <v>244</v>
      </c>
      <c r="D13" s="30">
        <v>180</v>
      </c>
      <c r="E13" s="31">
        <f t="shared" si="0"/>
        <v>975000</v>
      </c>
      <c r="F13" s="32">
        <f t="shared" si="1"/>
        <v>0.83759552841606311</v>
      </c>
      <c r="G13" s="33">
        <f t="shared" si="2"/>
        <v>8.8246507631871314</v>
      </c>
      <c r="H13" s="34">
        <f t="shared" si="3"/>
        <v>0.29847341768020541</v>
      </c>
      <c r="I13" s="35">
        <f t="shared" si="4"/>
        <v>2.5</v>
      </c>
      <c r="J13" s="36">
        <f t="shared" si="5"/>
        <v>8.8246507631871314</v>
      </c>
      <c r="K13" s="32">
        <f t="shared" si="6"/>
        <v>0.83759552841606311</v>
      </c>
      <c r="L13" s="34">
        <f t="shared" si="7"/>
        <v>0.28030059572409338</v>
      </c>
      <c r="M13" s="32">
        <f t="shared" si="8"/>
        <v>0.89189963850837128</v>
      </c>
      <c r="N13" s="31">
        <v>975000</v>
      </c>
      <c r="O13" s="31">
        <f>N13*0.95</f>
        <v>926250</v>
      </c>
      <c r="P13" s="31">
        <f t="shared" si="9"/>
        <v>391426.44</v>
      </c>
      <c r="Q13" s="37">
        <f t="shared" si="10"/>
        <v>950625</v>
      </c>
      <c r="R13" s="31">
        <f t="shared" si="11"/>
        <v>171112.5</v>
      </c>
      <c r="S13" s="31">
        <f t="shared" si="12"/>
        <v>157680</v>
      </c>
      <c r="T13" s="38">
        <v>0.1</v>
      </c>
      <c r="U13" s="31">
        <f t="shared" si="13"/>
        <v>95062.5</v>
      </c>
      <c r="V13" s="30"/>
      <c r="W13" s="30">
        <v>8.5</v>
      </c>
      <c r="X13" s="30"/>
      <c r="Y13" s="30">
        <v>19</v>
      </c>
      <c r="Z13" s="30"/>
      <c r="AA13" s="30">
        <v>2.85</v>
      </c>
      <c r="AB13" s="31">
        <f t="shared" si="14"/>
        <v>223380</v>
      </c>
      <c r="AC13" s="31">
        <f t="shared" si="15"/>
        <v>0</v>
      </c>
      <c r="AD13" s="31">
        <f t="shared" si="16"/>
        <v>1830.84</v>
      </c>
      <c r="AE13" s="31">
        <f t="shared" si="17"/>
        <v>71153.100000000006</v>
      </c>
      <c r="AF13" s="30">
        <f t="shared" si="18"/>
        <v>12483</v>
      </c>
      <c r="AG13" s="31">
        <f t="shared" si="19"/>
        <v>71153.100000000006</v>
      </c>
      <c r="AH13" s="30"/>
      <c r="AI13" s="30">
        <v>5.7</v>
      </c>
      <c r="AJ13" s="30">
        <v>2.1999999999999999E-2</v>
      </c>
      <c r="AK13" s="30"/>
      <c r="AL13" s="30">
        <v>6</v>
      </c>
      <c r="AM13" s="30"/>
      <c r="AN13" s="30" t="s">
        <v>98</v>
      </c>
      <c r="AO13" s="30">
        <v>11.506567799999999</v>
      </c>
      <c r="AP13" s="30">
        <v>1650</v>
      </c>
      <c r="AQ13" s="30"/>
      <c r="AR13" s="30">
        <v>75</v>
      </c>
      <c r="AS13" s="30" t="s">
        <v>22</v>
      </c>
      <c r="AT13" s="30"/>
      <c r="AU13" s="30" t="s">
        <v>60</v>
      </c>
      <c r="AV13" s="30">
        <v>23</v>
      </c>
      <c r="AW13" s="30" t="s">
        <v>65</v>
      </c>
      <c r="AX13" s="30" t="s">
        <v>23</v>
      </c>
      <c r="AY13" s="30">
        <v>24</v>
      </c>
      <c r="AZ13" s="30">
        <v>1</v>
      </c>
      <c r="BA13" s="30" t="s">
        <v>97</v>
      </c>
      <c r="BB13" s="30">
        <v>10.8</v>
      </c>
      <c r="BC13" s="30">
        <v>100</v>
      </c>
      <c r="BD13" s="30"/>
      <c r="BE13" s="30"/>
      <c r="BF13" s="30">
        <v>180</v>
      </c>
      <c r="BG13" s="30">
        <f t="shared" si="20"/>
        <v>2160</v>
      </c>
      <c r="BH13" s="30">
        <v>252</v>
      </c>
      <c r="BI13" s="30">
        <v>504</v>
      </c>
      <c r="BJ13" s="30">
        <f t="shared" si="21"/>
        <v>788400</v>
      </c>
      <c r="BK13" s="30">
        <v>7</v>
      </c>
      <c r="BL13" s="30">
        <v>7</v>
      </c>
      <c r="BM13" s="30">
        <v>3.9</v>
      </c>
      <c r="BN13" s="30">
        <v>28.4</v>
      </c>
      <c r="BO13" s="35">
        <f t="shared" si="22"/>
        <v>5.9666666666666659</v>
      </c>
      <c r="BP13" s="32">
        <f t="shared" si="23"/>
        <v>1.0648333333333333</v>
      </c>
      <c r="BQ13" s="30" t="s">
        <v>305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</row>
    <row r="14" spans="1:82" ht="45">
      <c r="A14" s="58" t="s">
        <v>21</v>
      </c>
      <c r="B14" s="58" t="s">
        <v>321</v>
      </c>
      <c r="C14" s="29" t="s">
        <v>244</v>
      </c>
      <c r="D14" s="30">
        <v>135</v>
      </c>
      <c r="E14" s="31">
        <f t="shared" si="0"/>
        <v>775000</v>
      </c>
      <c r="F14" s="32">
        <f t="shared" si="1"/>
        <v>0.85856080803518287</v>
      </c>
      <c r="G14" s="33">
        <f t="shared" si="2"/>
        <v>9.2292038772382501</v>
      </c>
      <c r="H14" s="34">
        <f t="shared" si="3"/>
        <v>0.29118496635331542</v>
      </c>
      <c r="I14" s="35">
        <f t="shared" si="4"/>
        <v>2.5</v>
      </c>
      <c r="J14" s="36">
        <f t="shared" si="5"/>
        <v>9.2292038772382501</v>
      </c>
      <c r="K14" s="32">
        <f t="shared" si="6"/>
        <v>0.85856080803518287</v>
      </c>
      <c r="L14" s="34">
        <f t="shared" si="7"/>
        <v>0.27345590829862143</v>
      </c>
      <c r="M14" s="32">
        <f t="shared" si="8"/>
        <v>0.91422416708946386</v>
      </c>
      <c r="N14" s="31">
        <v>775000</v>
      </c>
      <c r="O14" s="31">
        <f>N14*0.9</f>
        <v>697500</v>
      </c>
      <c r="P14" s="31">
        <f t="shared" si="9"/>
        <v>299939.59999999998</v>
      </c>
      <c r="Q14" s="37">
        <f t="shared" si="10"/>
        <v>736250</v>
      </c>
      <c r="R14" s="31">
        <f t="shared" si="11"/>
        <v>132525</v>
      </c>
      <c r="S14" s="30">
        <f t="shared" si="12"/>
        <v>118260</v>
      </c>
      <c r="T14" s="38">
        <v>0.1</v>
      </c>
      <c r="U14" s="31">
        <f t="shared" si="13"/>
        <v>73625</v>
      </c>
      <c r="V14" s="30"/>
      <c r="W14" s="30">
        <v>6.2</v>
      </c>
      <c r="X14" s="30"/>
      <c r="Y14" s="30">
        <v>10</v>
      </c>
      <c r="Z14" s="30"/>
      <c r="AA14" s="30">
        <v>2.5</v>
      </c>
      <c r="AB14" s="31">
        <f t="shared" si="14"/>
        <v>162936</v>
      </c>
      <c r="AC14" s="31">
        <f t="shared" si="15"/>
        <v>0</v>
      </c>
      <c r="AD14" s="31">
        <f t="shared" si="16"/>
        <v>963.59999999999991</v>
      </c>
      <c r="AE14" s="31">
        <f t="shared" si="17"/>
        <v>62415</v>
      </c>
      <c r="AF14" s="30">
        <f t="shared" si="18"/>
        <v>10950</v>
      </c>
      <c r="AG14" s="31">
        <f t="shared" si="19"/>
        <v>62415</v>
      </c>
      <c r="AH14" s="30"/>
      <c r="AI14" s="30">
        <v>5.7</v>
      </c>
      <c r="AJ14" s="30">
        <v>2.1999999999999999E-2</v>
      </c>
      <c r="AK14" s="30"/>
      <c r="AL14" s="30">
        <v>6</v>
      </c>
      <c r="AM14" s="30"/>
      <c r="AN14" s="30" t="s">
        <v>316</v>
      </c>
      <c r="AO14" s="30">
        <v>7.1821890000000002</v>
      </c>
      <c r="AP14" s="30">
        <v>1285</v>
      </c>
      <c r="AQ14" s="30"/>
      <c r="AR14" s="30"/>
      <c r="AS14" s="30" t="s">
        <v>22</v>
      </c>
      <c r="AT14" s="30"/>
      <c r="AU14" s="30" t="s">
        <v>221</v>
      </c>
      <c r="AV14" s="30">
        <v>25</v>
      </c>
      <c r="AW14" s="42" t="s">
        <v>318</v>
      </c>
      <c r="AX14" s="30"/>
      <c r="AY14" s="30">
        <v>20</v>
      </c>
      <c r="AZ14" s="30"/>
      <c r="BA14" s="30" t="s">
        <v>319</v>
      </c>
      <c r="BB14" s="30">
        <v>7.1</v>
      </c>
      <c r="BC14" s="30"/>
      <c r="BD14" s="30"/>
      <c r="BE14" s="30"/>
      <c r="BF14" s="30">
        <v>135</v>
      </c>
      <c r="BG14" s="30">
        <f t="shared" si="20"/>
        <v>1620</v>
      </c>
      <c r="BH14" s="30">
        <v>144</v>
      </c>
      <c r="BI14" s="30">
        <v>288</v>
      </c>
      <c r="BJ14" s="30">
        <f t="shared" si="21"/>
        <v>591300</v>
      </c>
      <c r="BK14" s="30">
        <v>7</v>
      </c>
      <c r="BL14" s="30">
        <v>7</v>
      </c>
      <c r="BM14" s="30">
        <v>3.9</v>
      </c>
      <c r="BN14" s="30">
        <v>28.4</v>
      </c>
      <c r="BO14" s="35">
        <f t="shared" si="22"/>
        <v>5.9666666666666659</v>
      </c>
      <c r="BP14" s="32">
        <f t="shared" si="23"/>
        <v>1.0648333333333333</v>
      </c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</row>
    <row r="15" spans="1:82" ht="45">
      <c r="A15" s="58" t="s">
        <v>215</v>
      </c>
      <c r="B15" s="58" t="s">
        <v>89</v>
      </c>
      <c r="C15" s="29" t="s">
        <v>244</v>
      </c>
      <c r="D15" s="30">
        <v>160</v>
      </c>
      <c r="E15" s="31">
        <f t="shared" si="0"/>
        <v>830000</v>
      </c>
      <c r="F15" s="32">
        <f t="shared" si="1"/>
        <v>0.88873069035519725</v>
      </c>
      <c r="G15" s="33">
        <f t="shared" si="2"/>
        <v>8.4959330070829946</v>
      </c>
      <c r="H15" s="34">
        <f t="shared" si="3"/>
        <v>0.28130006391484352</v>
      </c>
      <c r="I15" s="35">
        <f t="shared" si="4"/>
        <v>2.5</v>
      </c>
      <c r="J15" s="36">
        <f t="shared" si="5"/>
        <v>8.4959330070829946</v>
      </c>
      <c r="K15" s="32">
        <f t="shared" si="6"/>
        <v>0.88873069035519725</v>
      </c>
      <c r="L15" s="34">
        <f t="shared" si="7"/>
        <v>0.26837341127191305</v>
      </c>
      <c r="M15" s="32">
        <f t="shared" si="8"/>
        <v>0.93153788527397263</v>
      </c>
      <c r="N15" s="31">
        <v>830000</v>
      </c>
      <c r="O15" s="31">
        <f>N15*0.9</f>
        <v>747000</v>
      </c>
      <c r="P15" s="31">
        <f t="shared" si="9"/>
        <v>380327.4</v>
      </c>
      <c r="Q15" s="37">
        <f t="shared" si="10"/>
        <v>788500</v>
      </c>
      <c r="R15" s="31">
        <f t="shared" si="11"/>
        <v>141930</v>
      </c>
      <c r="S15" s="31">
        <f t="shared" si="12"/>
        <v>140160</v>
      </c>
      <c r="T15" s="38">
        <v>0.12</v>
      </c>
      <c r="U15" s="31">
        <f t="shared" si="13"/>
        <v>94620</v>
      </c>
      <c r="V15" s="30"/>
      <c r="W15" s="30">
        <v>8.5</v>
      </c>
      <c r="X15" s="30"/>
      <c r="Y15" s="30">
        <v>25</v>
      </c>
      <c r="Z15" s="30"/>
      <c r="AA15" s="30">
        <v>2.4</v>
      </c>
      <c r="AB15" s="31">
        <f t="shared" si="14"/>
        <v>223380</v>
      </c>
      <c r="AC15" s="31">
        <f t="shared" si="15"/>
        <v>0</v>
      </c>
      <c r="AD15" s="31">
        <f t="shared" si="16"/>
        <v>2409</v>
      </c>
      <c r="AE15" s="31">
        <f t="shared" si="17"/>
        <v>59918.400000000001</v>
      </c>
      <c r="AF15" s="30">
        <f t="shared" si="18"/>
        <v>10512</v>
      </c>
      <c r="AG15" s="31">
        <f t="shared" si="19"/>
        <v>59918.400000000001</v>
      </c>
      <c r="AH15" s="30"/>
      <c r="AI15" s="30">
        <v>5.7</v>
      </c>
      <c r="AJ15" s="30">
        <v>2.1999999999999999E-2</v>
      </c>
      <c r="AK15" s="30"/>
      <c r="AL15" s="30">
        <v>6</v>
      </c>
      <c r="AM15" s="30"/>
      <c r="AN15" s="30" t="s">
        <v>91</v>
      </c>
      <c r="AO15" s="30">
        <v>15.42051</v>
      </c>
      <c r="AP15" s="30">
        <v>2150</v>
      </c>
      <c r="AQ15" s="30"/>
      <c r="AR15" s="30">
        <v>75</v>
      </c>
      <c r="AS15" s="30" t="s">
        <v>47</v>
      </c>
      <c r="AT15" s="30"/>
      <c r="AU15" s="30" t="s">
        <v>73</v>
      </c>
      <c r="AV15" s="30">
        <v>28</v>
      </c>
      <c r="AW15" s="30" t="s">
        <v>55</v>
      </c>
      <c r="AX15" s="30" t="s">
        <v>55</v>
      </c>
      <c r="AY15" s="30"/>
      <c r="AZ15" s="30">
        <v>1</v>
      </c>
      <c r="BA15" s="30" t="s">
        <v>90</v>
      </c>
      <c r="BB15" s="30"/>
      <c r="BC15" s="30">
        <v>100</v>
      </c>
      <c r="BD15" s="30"/>
      <c r="BE15" s="30"/>
      <c r="BF15" s="30">
        <v>160</v>
      </c>
      <c r="BG15" s="30">
        <f t="shared" si="20"/>
        <v>1920</v>
      </c>
      <c r="BH15" s="30"/>
      <c r="BI15" s="30"/>
      <c r="BJ15" s="30">
        <f t="shared" si="21"/>
        <v>700800</v>
      </c>
      <c r="BK15" s="30">
        <v>5</v>
      </c>
      <c r="BL15" s="30">
        <v>6</v>
      </c>
      <c r="BM15" s="30">
        <v>2.9</v>
      </c>
      <c r="BN15" s="30">
        <v>1.8</v>
      </c>
      <c r="BO15" s="35">
        <f t="shared" si="22"/>
        <v>4.6333333333333337</v>
      </c>
      <c r="BP15" s="32">
        <f t="shared" si="23"/>
        <v>1.0481666666666667</v>
      </c>
      <c r="BQ15" s="30" t="s">
        <v>305</v>
      </c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</row>
    <row r="16" spans="1:82" ht="45">
      <c r="A16" s="58" t="s">
        <v>340</v>
      </c>
      <c r="B16" s="58" t="s">
        <v>346</v>
      </c>
      <c r="C16" s="29" t="s">
        <v>244</v>
      </c>
      <c r="D16" s="30">
        <v>192</v>
      </c>
      <c r="E16" s="31">
        <f t="shared" si="0"/>
        <v>2277343.2000000002</v>
      </c>
      <c r="F16" s="32">
        <f t="shared" si="1"/>
        <v>0.90684991263267423</v>
      </c>
      <c r="G16" s="33">
        <f t="shared" si="2"/>
        <v>19.957005486697437</v>
      </c>
      <c r="H16" s="34">
        <f t="shared" si="3"/>
        <v>0.27567957665036935</v>
      </c>
      <c r="I16" s="35">
        <f t="shared" si="4"/>
        <v>2.5</v>
      </c>
      <c r="J16" s="36">
        <f t="shared" si="5"/>
        <v>19.957005486697437</v>
      </c>
      <c r="K16" s="32">
        <f t="shared" si="6"/>
        <v>0.90684991263267423</v>
      </c>
      <c r="L16" s="34">
        <f t="shared" si="7"/>
        <v>0.25338196383306005</v>
      </c>
      <c r="M16" s="32">
        <f t="shared" si="8"/>
        <v>0.98665270494434942</v>
      </c>
      <c r="N16" s="43">
        <v>2277343.2000000002</v>
      </c>
      <c r="O16" s="31">
        <f>N16*0.93</f>
        <v>2117929.1760000004</v>
      </c>
      <c r="P16" s="31">
        <f t="shared" si="9"/>
        <v>268213.85316000006</v>
      </c>
      <c r="Q16" s="37">
        <f t="shared" si="10"/>
        <v>2197636.1880000001</v>
      </c>
      <c r="R16" s="31">
        <f t="shared" si="11"/>
        <v>395574.51384000003</v>
      </c>
      <c r="S16" s="30">
        <f t="shared" si="12"/>
        <v>168192</v>
      </c>
      <c r="T16" s="38">
        <v>7.0000000000000007E-2</v>
      </c>
      <c r="U16" s="31">
        <f t="shared" si="13"/>
        <v>153834.53316000002</v>
      </c>
      <c r="V16" s="30"/>
      <c r="W16" s="30">
        <v>2.2000000000000002</v>
      </c>
      <c r="X16" s="30"/>
      <c r="Y16" s="30">
        <v>17</v>
      </c>
      <c r="Z16" s="30"/>
      <c r="AA16" s="30">
        <v>2.2000000000000002</v>
      </c>
      <c r="AB16" s="31">
        <f t="shared" si="14"/>
        <v>57816.000000000015</v>
      </c>
      <c r="AC16" s="31">
        <f t="shared" si="15"/>
        <v>0</v>
      </c>
      <c r="AD16" s="31">
        <f t="shared" si="16"/>
        <v>1638.12</v>
      </c>
      <c r="AE16" s="31">
        <f t="shared" si="17"/>
        <v>54925.200000000012</v>
      </c>
      <c r="AF16" s="30">
        <f t="shared" si="18"/>
        <v>9636.0000000000018</v>
      </c>
      <c r="AG16" s="31">
        <f t="shared" si="19"/>
        <v>54925.200000000012</v>
      </c>
      <c r="AH16" s="30"/>
      <c r="AI16" s="30">
        <v>5.7</v>
      </c>
      <c r="AJ16" s="30">
        <v>2.1999999999999999E-2</v>
      </c>
      <c r="AK16" s="30">
        <v>34</v>
      </c>
      <c r="AL16" s="30">
        <v>6</v>
      </c>
      <c r="AM16" s="30"/>
      <c r="AN16" s="30" t="s">
        <v>350</v>
      </c>
      <c r="AO16" s="30">
        <v>8.9250000000000007</v>
      </c>
      <c r="AP16" s="44">
        <v>1800</v>
      </c>
      <c r="AQ16" s="30"/>
      <c r="AR16" s="30">
        <v>100</v>
      </c>
      <c r="AS16" s="30"/>
      <c r="AT16" s="30"/>
      <c r="AU16" s="30" t="s">
        <v>347</v>
      </c>
      <c r="AV16" s="30"/>
      <c r="AW16" s="30"/>
      <c r="AX16" s="30"/>
      <c r="AY16" s="30"/>
      <c r="AZ16" s="30">
        <v>1</v>
      </c>
      <c r="BA16" s="30" t="s">
        <v>93</v>
      </c>
      <c r="BB16" s="30"/>
      <c r="BC16" s="30"/>
      <c r="BD16" s="30"/>
      <c r="BE16" s="30"/>
      <c r="BF16" s="30">
        <v>192</v>
      </c>
      <c r="BG16" s="30">
        <f t="shared" si="20"/>
        <v>2304</v>
      </c>
      <c r="BH16" s="30">
        <v>466</v>
      </c>
      <c r="BI16" s="30">
        <v>933</v>
      </c>
      <c r="BJ16" s="30">
        <f t="shared" si="21"/>
        <v>840960</v>
      </c>
      <c r="BK16" s="30">
        <v>10</v>
      </c>
      <c r="BL16" s="30">
        <v>8</v>
      </c>
      <c r="BM16" s="30">
        <v>4.8</v>
      </c>
      <c r="BN16" s="30">
        <v>6</v>
      </c>
      <c r="BO16" s="35">
        <f t="shared" si="22"/>
        <v>7.6000000000000005</v>
      </c>
      <c r="BP16" s="32">
        <f t="shared" si="23"/>
        <v>1.0880000000000001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</row>
    <row r="17" spans="1:81" ht="45">
      <c r="A17" s="58" t="s">
        <v>215</v>
      </c>
      <c r="B17" s="58" t="s">
        <v>202</v>
      </c>
      <c r="C17" s="29" t="s">
        <v>244</v>
      </c>
      <c r="D17" s="30">
        <v>135</v>
      </c>
      <c r="E17" s="31">
        <f t="shared" si="0"/>
        <v>780000</v>
      </c>
      <c r="F17" s="32">
        <f t="shared" si="1"/>
        <v>0.95616176973493616</v>
      </c>
      <c r="G17" s="33">
        <f t="shared" si="2"/>
        <v>9.8759787660065577</v>
      </c>
      <c r="H17" s="34">
        <f t="shared" si="3"/>
        <v>0.26146203279943325</v>
      </c>
      <c r="I17" s="35">
        <f t="shared" si="4"/>
        <v>2.5</v>
      </c>
      <c r="J17" s="36">
        <f t="shared" si="5"/>
        <v>9.8759787660065577</v>
      </c>
      <c r="K17" s="32">
        <f t="shared" si="6"/>
        <v>0.95616176973493616</v>
      </c>
      <c r="L17" s="34">
        <f t="shared" si="7"/>
        <v>0.24944700219376678</v>
      </c>
      <c r="M17" s="32">
        <f t="shared" si="8"/>
        <v>1.002216894977169</v>
      </c>
      <c r="N17" s="31">
        <v>780000</v>
      </c>
      <c r="O17" s="31">
        <f>N17*0.9</f>
        <v>702000</v>
      </c>
      <c r="P17" s="31">
        <f t="shared" si="9"/>
        <v>340708.68</v>
      </c>
      <c r="Q17" s="37">
        <f t="shared" si="10"/>
        <v>741000</v>
      </c>
      <c r="R17" s="31">
        <f t="shared" si="11"/>
        <v>133380</v>
      </c>
      <c r="S17" s="31">
        <f t="shared" si="12"/>
        <v>118260</v>
      </c>
      <c r="T17" s="38">
        <v>0.12</v>
      </c>
      <c r="U17" s="31">
        <f t="shared" si="13"/>
        <v>88920</v>
      </c>
      <c r="V17" s="30"/>
      <c r="W17" s="30">
        <v>6</v>
      </c>
      <c r="X17" s="30"/>
      <c r="Y17" s="30">
        <v>18</v>
      </c>
      <c r="Z17" s="30"/>
      <c r="AA17" s="30">
        <v>3.7</v>
      </c>
      <c r="AB17" s="31">
        <f t="shared" si="14"/>
        <v>157680</v>
      </c>
      <c r="AC17" s="31">
        <f t="shared" si="15"/>
        <v>0</v>
      </c>
      <c r="AD17" s="31">
        <f t="shared" si="16"/>
        <v>1734.4799999999998</v>
      </c>
      <c r="AE17" s="31">
        <f t="shared" si="17"/>
        <v>92374.2</v>
      </c>
      <c r="AF17" s="30">
        <f t="shared" si="18"/>
        <v>16206</v>
      </c>
      <c r="AG17" s="31">
        <f t="shared" si="19"/>
        <v>92374.2</v>
      </c>
      <c r="AH17" s="30"/>
      <c r="AI17" s="30">
        <v>5.7</v>
      </c>
      <c r="AJ17" s="30">
        <v>2.1999999999999999E-2</v>
      </c>
      <c r="AK17" s="30"/>
      <c r="AL17" s="30">
        <v>6</v>
      </c>
      <c r="AM17" s="30"/>
      <c r="AN17" s="30" t="s">
        <v>162</v>
      </c>
      <c r="AO17" s="30">
        <v>13.38208</v>
      </c>
      <c r="AP17" s="30">
        <v>2050</v>
      </c>
      <c r="AQ17" s="30"/>
      <c r="AR17" s="30" t="s">
        <v>32</v>
      </c>
      <c r="AS17" s="30" t="s">
        <v>47</v>
      </c>
      <c r="AT17" s="30"/>
      <c r="AU17" s="30" t="s">
        <v>56</v>
      </c>
      <c r="AV17" s="30">
        <v>25</v>
      </c>
      <c r="AW17" s="30" t="s">
        <v>26</v>
      </c>
      <c r="AX17" s="30" t="s">
        <v>26</v>
      </c>
      <c r="AY17" s="30"/>
      <c r="AZ17" s="30">
        <v>1</v>
      </c>
      <c r="BA17" s="30" t="s">
        <v>16</v>
      </c>
      <c r="BB17" s="30"/>
      <c r="BC17" s="30">
        <v>100</v>
      </c>
      <c r="BD17" s="30"/>
      <c r="BE17" s="30"/>
      <c r="BF17" s="30">
        <v>135</v>
      </c>
      <c r="BG17" s="30">
        <f t="shared" si="20"/>
        <v>1620</v>
      </c>
      <c r="BH17" s="30"/>
      <c r="BI17" s="30"/>
      <c r="BJ17" s="30">
        <f t="shared" si="21"/>
        <v>591300</v>
      </c>
      <c r="BK17" s="30">
        <v>5</v>
      </c>
      <c r="BL17" s="30">
        <v>6</v>
      </c>
      <c r="BM17" s="30">
        <v>2.9</v>
      </c>
      <c r="BN17" s="30">
        <v>1.8</v>
      </c>
      <c r="BO17" s="35">
        <f t="shared" si="22"/>
        <v>4.6333333333333337</v>
      </c>
      <c r="BP17" s="32">
        <f t="shared" si="23"/>
        <v>1.0481666666666667</v>
      </c>
      <c r="BQ17" s="30" t="s">
        <v>305</v>
      </c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</row>
    <row r="18" spans="1:81" ht="45">
      <c r="A18" s="58" t="s">
        <v>24</v>
      </c>
      <c r="B18" s="58" t="s">
        <v>25</v>
      </c>
      <c r="C18" s="29" t="s">
        <v>244</v>
      </c>
      <c r="D18" s="30">
        <v>150</v>
      </c>
      <c r="E18" s="31">
        <f t="shared" si="0"/>
        <v>1329005</v>
      </c>
      <c r="F18" s="32">
        <f t="shared" si="1"/>
        <v>0.98927106299924084</v>
      </c>
      <c r="G18" s="33">
        <f t="shared" si="2"/>
        <v>14.661851501506128</v>
      </c>
      <c r="H18" s="34">
        <f t="shared" si="3"/>
        <v>0.25271132387321416</v>
      </c>
      <c r="I18" s="35">
        <f t="shared" si="4"/>
        <v>2.5</v>
      </c>
      <c r="J18" s="36">
        <f t="shared" si="5"/>
        <v>14.661851501506128</v>
      </c>
      <c r="K18" s="32">
        <f t="shared" si="6"/>
        <v>0.98927106299924084</v>
      </c>
      <c r="L18" s="34">
        <f t="shared" si="7"/>
        <v>0.23533570436741966</v>
      </c>
      <c r="M18" s="32">
        <f t="shared" si="8"/>
        <v>1.0623122431506848</v>
      </c>
      <c r="N18" s="31">
        <v>1329005</v>
      </c>
      <c r="O18" s="31">
        <f>N18*0.8</f>
        <v>1063204</v>
      </c>
      <c r="P18" s="31">
        <f t="shared" si="9"/>
        <v>343052.505</v>
      </c>
      <c r="Q18" s="37">
        <f t="shared" si="10"/>
        <v>1196104.5</v>
      </c>
      <c r="R18" s="31">
        <f t="shared" si="11"/>
        <v>215298.81</v>
      </c>
      <c r="S18" s="31">
        <f t="shared" si="12"/>
        <v>131400</v>
      </c>
      <c r="T18" s="38">
        <v>0.09</v>
      </c>
      <c r="U18" s="31">
        <f t="shared" si="13"/>
        <v>107649.405</v>
      </c>
      <c r="V18" s="30"/>
      <c r="W18" s="30">
        <v>5.5</v>
      </c>
      <c r="X18" s="30"/>
      <c r="Y18" s="30">
        <v>18</v>
      </c>
      <c r="Z18" s="30"/>
      <c r="AA18" s="30">
        <v>3.57</v>
      </c>
      <c r="AB18" s="31">
        <f t="shared" si="14"/>
        <v>144540</v>
      </c>
      <c r="AC18" s="31">
        <f t="shared" si="15"/>
        <v>0</v>
      </c>
      <c r="AD18" s="31">
        <f t="shared" si="16"/>
        <v>1734.4799999999998</v>
      </c>
      <c r="AE18" s="31">
        <f t="shared" si="17"/>
        <v>89128.62</v>
      </c>
      <c r="AF18" s="30">
        <f t="shared" si="18"/>
        <v>15636.599999999999</v>
      </c>
      <c r="AG18" s="31">
        <f t="shared" si="19"/>
        <v>89128.62</v>
      </c>
      <c r="AH18" s="30"/>
      <c r="AI18" s="30">
        <v>5.7</v>
      </c>
      <c r="AJ18" s="30">
        <v>2.1999999999999999E-2</v>
      </c>
      <c r="AK18" s="30"/>
      <c r="AL18" s="30">
        <v>6</v>
      </c>
      <c r="AM18" s="30"/>
      <c r="AN18" s="30" t="s">
        <v>160</v>
      </c>
      <c r="AO18" s="30">
        <v>7.5765690000000001</v>
      </c>
      <c r="AP18" s="30">
        <v>1600</v>
      </c>
      <c r="AQ18" s="30"/>
      <c r="AR18" s="30">
        <v>69.7</v>
      </c>
      <c r="AS18" s="30"/>
      <c r="AT18" s="30"/>
      <c r="AU18" s="30" t="s">
        <v>46</v>
      </c>
      <c r="AV18" s="30">
        <v>17</v>
      </c>
      <c r="AW18" s="30" t="s">
        <v>26</v>
      </c>
      <c r="AX18" s="30" t="s">
        <v>26</v>
      </c>
      <c r="AY18" s="30"/>
      <c r="AZ18" s="30">
        <v>1</v>
      </c>
      <c r="BA18" s="30" t="s">
        <v>16</v>
      </c>
      <c r="BB18" s="30">
        <v>8.6</v>
      </c>
      <c r="BC18" s="30">
        <v>100</v>
      </c>
      <c r="BD18" s="30"/>
      <c r="BE18" s="30"/>
      <c r="BF18" s="30">
        <v>150</v>
      </c>
      <c r="BG18" s="30">
        <f t="shared" si="20"/>
        <v>1800</v>
      </c>
      <c r="BH18" s="30">
        <v>216</v>
      </c>
      <c r="BI18" s="30"/>
      <c r="BJ18" s="30">
        <f t="shared" si="21"/>
        <v>657000</v>
      </c>
      <c r="BK18" s="30">
        <v>8</v>
      </c>
      <c r="BL18" s="30">
        <v>8</v>
      </c>
      <c r="BM18" s="30">
        <v>4.3</v>
      </c>
      <c r="BN18" s="30">
        <v>6.3</v>
      </c>
      <c r="BO18" s="35">
        <f t="shared" si="22"/>
        <v>6.7666666666666666</v>
      </c>
      <c r="BP18" s="32">
        <f t="shared" si="23"/>
        <v>1.0738333333333334</v>
      </c>
      <c r="BQ18" s="30" t="s">
        <v>305</v>
      </c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</row>
    <row r="19" spans="1:81" ht="45">
      <c r="A19" s="58" t="s">
        <v>21</v>
      </c>
      <c r="B19" s="58" t="s">
        <v>322</v>
      </c>
      <c r="C19" s="29" t="s">
        <v>244</v>
      </c>
      <c r="D19" s="30">
        <v>90</v>
      </c>
      <c r="E19" s="31">
        <f t="shared" si="0"/>
        <v>635000</v>
      </c>
      <c r="F19" s="32">
        <f t="shared" si="1"/>
        <v>1.0819889255052859</v>
      </c>
      <c r="G19" s="33">
        <f t="shared" si="2"/>
        <v>13.130241008257537</v>
      </c>
      <c r="H19" s="34">
        <f t="shared" si="3"/>
        <v>0.23105596934206202</v>
      </c>
      <c r="I19" s="35">
        <f t="shared" si="4"/>
        <v>2.5</v>
      </c>
      <c r="J19" s="36">
        <f t="shared" si="5"/>
        <v>13.130241008257537</v>
      </c>
      <c r="K19" s="32">
        <f t="shared" si="6"/>
        <v>1.0819889255052859</v>
      </c>
      <c r="L19" s="34">
        <f t="shared" si="7"/>
        <v>0.21698791924438446</v>
      </c>
      <c r="M19" s="32">
        <f t="shared" si="8"/>
        <v>1.1521378741755453</v>
      </c>
      <c r="N19" s="31">
        <v>635000</v>
      </c>
      <c r="O19" s="31">
        <f>N19*0.9</f>
        <v>571500</v>
      </c>
      <c r="P19" s="31">
        <f t="shared" si="9"/>
        <v>254753.19999999995</v>
      </c>
      <c r="Q19" s="37">
        <f t="shared" si="10"/>
        <v>603250</v>
      </c>
      <c r="R19" s="31">
        <f t="shared" si="11"/>
        <v>108585</v>
      </c>
      <c r="S19" s="30">
        <f t="shared" si="12"/>
        <v>78840</v>
      </c>
      <c r="T19" s="38">
        <v>0.1</v>
      </c>
      <c r="U19" s="31">
        <f t="shared" si="13"/>
        <v>60325</v>
      </c>
      <c r="V19" s="30"/>
      <c r="W19" s="30">
        <v>5.0999999999999996</v>
      </c>
      <c r="X19" s="30"/>
      <c r="Y19" s="30">
        <v>5</v>
      </c>
      <c r="Z19" s="30"/>
      <c r="AA19" s="30">
        <v>2.4</v>
      </c>
      <c r="AB19" s="31">
        <f t="shared" si="14"/>
        <v>134027.99999999997</v>
      </c>
      <c r="AC19" s="31">
        <f t="shared" si="15"/>
        <v>0</v>
      </c>
      <c r="AD19" s="31">
        <f t="shared" si="16"/>
        <v>481.79999999999995</v>
      </c>
      <c r="AE19" s="31">
        <f t="shared" si="17"/>
        <v>59918.400000000001</v>
      </c>
      <c r="AF19" s="30">
        <f t="shared" si="18"/>
        <v>10512</v>
      </c>
      <c r="AG19" s="31">
        <f t="shared" si="19"/>
        <v>59918.400000000001</v>
      </c>
      <c r="AH19" s="30"/>
      <c r="AI19" s="30">
        <v>5.7</v>
      </c>
      <c r="AJ19" s="30">
        <v>2.1999999999999999E-2</v>
      </c>
      <c r="AK19" s="30"/>
      <c r="AL19" s="30">
        <v>6</v>
      </c>
      <c r="AM19" s="30"/>
      <c r="AN19" s="30" t="s">
        <v>317</v>
      </c>
      <c r="AO19" s="30">
        <v>4.7652975</v>
      </c>
      <c r="AP19" s="30">
        <v>900</v>
      </c>
      <c r="AQ19" s="30"/>
      <c r="AR19" s="30"/>
      <c r="AS19" s="30"/>
      <c r="AT19" s="30"/>
      <c r="AU19" s="30" t="s">
        <v>60</v>
      </c>
      <c r="AV19" s="30">
        <v>35</v>
      </c>
      <c r="AW19" s="30"/>
      <c r="AX19" s="30"/>
      <c r="AY19" s="30"/>
      <c r="AZ19" s="30"/>
      <c r="BA19" s="30" t="s">
        <v>320</v>
      </c>
      <c r="BB19" s="30">
        <v>4.8600000000000003</v>
      </c>
      <c r="BC19" s="30"/>
      <c r="BD19" s="30"/>
      <c r="BE19" s="30"/>
      <c r="BF19" s="30">
        <v>90</v>
      </c>
      <c r="BG19" s="30">
        <f t="shared" si="20"/>
        <v>1080</v>
      </c>
      <c r="BH19" s="30">
        <v>108</v>
      </c>
      <c r="BI19" s="30">
        <v>216</v>
      </c>
      <c r="BJ19" s="30">
        <f t="shared" si="21"/>
        <v>394200</v>
      </c>
      <c r="BK19" s="30">
        <v>7</v>
      </c>
      <c r="BL19" s="30">
        <v>7</v>
      </c>
      <c r="BM19" s="30">
        <v>3.9</v>
      </c>
      <c r="BN19" s="30">
        <v>28.4</v>
      </c>
      <c r="BO19" s="35">
        <f t="shared" si="22"/>
        <v>5.9666666666666659</v>
      </c>
      <c r="BP19" s="32">
        <f t="shared" si="23"/>
        <v>1.0648333333333333</v>
      </c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</row>
    <row r="20" spans="1:81" ht="45">
      <c r="A20" s="58" t="s">
        <v>30</v>
      </c>
      <c r="B20" s="58" t="s">
        <v>222</v>
      </c>
      <c r="C20" s="29" t="s">
        <v>244</v>
      </c>
      <c r="D20" s="30">
        <v>150</v>
      </c>
      <c r="E20" s="31">
        <f t="shared" si="0"/>
        <v>1713290</v>
      </c>
      <c r="F20" s="32">
        <f t="shared" si="1"/>
        <v>1.0923976295022277</v>
      </c>
      <c r="G20" s="33">
        <f t="shared" si="2"/>
        <v>21.976662888709406</v>
      </c>
      <c r="H20" s="34">
        <f t="shared" si="3"/>
        <v>0.22885439628234761</v>
      </c>
      <c r="I20" s="35">
        <f t="shared" si="4"/>
        <v>2.5</v>
      </c>
      <c r="J20" s="36">
        <f t="shared" si="5"/>
        <v>21.976662888709406</v>
      </c>
      <c r="K20" s="32">
        <f t="shared" si="6"/>
        <v>1.0923976295022277</v>
      </c>
      <c r="L20" s="34">
        <f t="shared" si="7"/>
        <v>0.20999027033095055</v>
      </c>
      <c r="M20" s="32">
        <f t="shared" si="8"/>
        <v>1.1905313498858447</v>
      </c>
      <c r="N20" s="31">
        <v>1713290</v>
      </c>
      <c r="O20" s="31">
        <f>N20*0.95</f>
        <v>1627625.5</v>
      </c>
      <c r="P20" s="31">
        <f t="shared" si="9"/>
        <v>325060.88250000001</v>
      </c>
      <c r="Q20" s="37">
        <f t="shared" si="10"/>
        <v>1670457.75</v>
      </c>
      <c r="R20" s="31">
        <f t="shared" si="11"/>
        <v>300682.39499999996</v>
      </c>
      <c r="S20" s="31">
        <f t="shared" si="12"/>
        <v>131400</v>
      </c>
      <c r="T20" s="38">
        <v>7.0000000000000007E-2</v>
      </c>
      <c r="U20" s="31">
        <f t="shared" si="13"/>
        <v>116932.04250000001</v>
      </c>
      <c r="V20" s="30"/>
      <c r="W20" s="30">
        <v>5</v>
      </c>
      <c r="X20" s="30"/>
      <c r="Y20" s="30">
        <v>19</v>
      </c>
      <c r="Z20" s="30"/>
      <c r="AA20" s="30">
        <v>3</v>
      </c>
      <c r="AB20" s="31">
        <f t="shared" si="14"/>
        <v>131400</v>
      </c>
      <c r="AC20" s="31">
        <f t="shared" si="15"/>
        <v>0</v>
      </c>
      <c r="AD20" s="31">
        <f t="shared" si="16"/>
        <v>1830.84</v>
      </c>
      <c r="AE20" s="31">
        <f t="shared" si="17"/>
        <v>74898</v>
      </c>
      <c r="AF20" s="30">
        <f t="shared" si="18"/>
        <v>13140</v>
      </c>
      <c r="AG20" s="31">
        <f t="shared" si="19"/>
        <v>74898</v>
      </c>
      <c r="AH20" s="30"/>
      <c r="AI20" s="30">
        <v>5.7</v>
      </c>
      <c r="AJ20" s="30">
        <v>2.1999999999999999E-2</v>
      </c>
      <c r="AK20" s="30"/>
      <c r="AL20" s="30">
        <v>6</v>
      </c>
      <c r="AM20" s="30"/>
      <c r="AN20" s="30" t="s">
        <v>161</v>
      </c>
      <c r="AO20" s="30">
        <v>8.83779</v>
      </c>
      <c r="AP20" s="30">
        <v>1700</v>
      </c>
      <c r="AQ20" s="30"/>
      <c r="AR20" s="30">
        <v>72.599999999999994</v>
      </c>
      <c r="AS20" s="30"/>
      <c r="AT20" s="30"/>
      <c r="AU20" s="30" t="s">
        <v>164</v>
      </c>
      <c r="AV20" s="30">
        <v>15</v>
      </c>
      <c r="AW20" s="30" t="s">
        <v>26</v>
      </c>
      <c r="AX20" s="30" t="s">
        <v>26</v>
      </c>
      <c r="AY20" s="30"/>
      <c r="AZ20" s="30">
        <v>1</v>
      </c>
      <c r="BA20" s="30" t="s">
        <v>16</v>
      </c>
      <c r="BB20" s="30">
        <v>8.6999999999999993</v>
      </c>
      <c r="BC20" s="30">
        <v>100</v>
      </c>
      <c r="BD20" s="30"/>
      <c r="BE20" s="30"/>
      <c r="BF20" s="30">
        <v>150</v>
      </c>
      <c r="BG20" s="30">
        <f t="shared" si="20"/>
        <v>1800</v>
      </c>
      <c r="BH20" s="30"/>
      <c r="BI20" s="30"/>
      <c r="BJ20" s="30">
        <f t="shared" si="21"/>
        <v>657000</v>
      </c>
      <c r="BK20" s="30">
        <v>10</v>
      </c>
      <c r="BL20" s="30">
        <v>9</v>
      </c>
      <c r="BM20" s="30">
        <v>4.9000000000000004</v>
      </c>
      <c r="BN20" s="30">
        <v>11.9</v>
      </c>
      <c r="BO20" s="35">
        <f t="shared" si="22"/>
        <v>7.9666666666666659</v>
      </c>
      <c r="BP20" s="32">
        <f t="shared" si="23"/>
        <v>1.0898333333333334</v>
      </c>
      <c r="BQ20" s="30" t="s">
        <v>27</v>
      </c>
      <c r="BR20" s="30" t="s">
        <v>31</v>
      </c>
      <c r="BS20" s="30" t="s">
        <v>169</v>
      </c>
      <c r="BT20" s="30"/>
      <c r="BU20" s="30" t="s">
        <v>169</v>
      </c>
      <c r="BV20" s="30"/>
      <c r="BW20" s="30"/>
      <c r="BX20" s="30"/>
      <c r="BY20" s="30"/>
      <c r="BZ20" s="30"/>
      <c r="CA20" s="30"/>
      <c r="CB20" s="30"/>
      <c r="CC20" s="30"/>
    </row>
    <row r="21" spans="1:81" ht="45">
      <c r="A21" s="58" t="s">
        <v>30</v>
      </c>
      <c r="B21" s="58" t="s">
        <v>85</v>
      </c>
      <c r="C21" s="29" t="s">
        <v>244</v>
      </c>
      <c r="D21" s="30">
        <v>180</v>
      </c>
      <c r="E21" s="31">
        <f t="shared" si="0"/>
        <v>2257357</v>
      </c>
      <c r="F21" s="32">
        <f t="shared" si="1"/>
        <v>1.1233589691653381</v>
      </c>
      <c r="G21" s="33">
        <f t="shared" si="2"/>
        <v>24.67227222475384</v>
      </c>
      <c r="H21" s="34">
        <f t="shared" si="3"/>
        <v>0.2225468499937748</v>
      </c>
      <c r="I21" s="35">
        <f t="shared" si="4"/>
        <v>2.5</v>
      </c>
      <c r="J21" s="36">
        <f t="shared" si="5"/>
        <v>24.67227222475384</v>
      </c>
      <c r="K21" s="32">
        <f t="shared" si="6"/>
        <v>1.1233589691653381</v>
      </c>
      <c r="L21" s="34">
        <f t="shared" si="7"/>
        <v>0.20420264565876262</v>
      </c>
      <c r="M21" s="32">
        <f t="shared" si="8"/>
        <v>1.2242740498953577</v>
      </c>
      <c r="N21" s="31">
        <v>2257357</v>
      </c>
      <c r="O21" s="31">
        <f>N21*0.95</f>
        <v>2144489.15</v>
      </c>
      <c r="P21" s="31">
        <f t="shared" si="9"/>
        <v>376007.97525000002</v>
      </c>
      <c r="Q21" s="37">
        <f t="shared" si="10"/>
        <v>2200923.0750000002</v>
      </c>
      <c r="R21" s="31">
        <f t="shared" si="11"/>
        <v>396166.15350000001</v>
      </c>
      <c r="S21" s="31">
        <f t="shared" si="12"/>
        <v>157680</v>
      </c>
      <c r="T21" s="38">
        <v>7.0000000000000007E-2</v>
      </c>
      <c r="U21" s="31">
        <f t="shared" si="13"/>
        <v>154064.61525000003</v>
      </c>
      <c r="V21" s="30"/>
      <c r="W21" s="30">
        <v>5.5</v>
      </c>
      <c r="X21" s="30"/>
      <c r="Y21" s="30">
        <v>26</v>
      </c>
      <c r="Z21" s="30"/>
      <c r="AA21" s="30">
        <v>3</v>
      </c>
      <c r="AB21" s="31">
        <f t="shared" si="14"/>
        <v>144540</v>
      </c>
      <c r="AC21" s="31">
        <f t="shared" si="15"/>
        <v>0</v>
      </c>
      <c r="AD21" s="31">
        <f t="shared" si="16"/>
        <v>2505.3599999999997</v>
      </c>
      <c r="AE21" s="31">
        <f t="shared" si="17"/>
        <v>74898</v>
      </c>
      <c r="AF21" s="30">
        <f t="shared" si="18"/>
        <v>13140</v>
      </c>
      <c r="AG21" s="31">
        <f t="shared" si="19"/>
        <v>74898</v>
      </c>
      <c r="AH21" s="30"/>
      <c r="AI21" s="30">
        <v>5.7</v>
      </c>
      <c r="AJ21" s="30">
        <v>2.1999999999999999E-2</v>
      </c>
      <c r="AK21" s="30"/>
      <c r="AL21" s="30">
        <v>6</v>
      </c>
      <c r="AM21" s="30"/>
      <c r="AN21" s="30" t="s">
        <v>86</v>
      </c>
      <c r="AO21" s="30">
        <v>7.8771199999999997</v>
      </c>
      <c r="AP21" s="30">
        <v>2000</v>
      </c>
      <c r="AQ21" s="30"/>
      <c r="AR21" s="30" t="s">
        <v>88</v>
      </c>
      <c r="AS21" s="30" t="s">
        <v>55</v>
      </c>
      <c r="AT21" s="30"/>
      <c r="AU21" s="30" t="s">
        <v>164</v>
      </c>
      <c r="AV21" s="30">
        <v>18</v>
      </c>
      <c r="AW21" s="30" t="s">
        <v>55</v>
      </c>
      <c r="AX21" s="30" t="s">
        <v>55</v>
      </c>
      <c r="AY21" s="30"/>
      <c r="AZ21" s="30">
        <v>1</v>
      </c>
      <c r="BA21" s="30" t="s">
        <v>146</v>
      </c>
      <c r="BB21" s="30">
        <v>13.8</v>
      </c>
      <c r="BC21" s="30">
        <v>100</v>
      </c>
      <c r="BD21" s="30"/>
      <c r="BE21" s="30"/>
      <c r="BF21" s="30">
        <v>180</v>
      </c>
      <c r="BG21" s="30">
        <f t="shared" si="20"/>
        <v>2160</v>
      </c>
      <c r="BH21" s="30"/>
      <c r="BI21" s="30"/>
      <c r="BJ21" s="30">
        <f t="shared" si="21"/>
        <v>788400</v>
      </c>
      <c r="BK21" s="30">
        <v>10</v>
      </c>
      <c r="BL21" s="30">
        <v>9</v>
      </c>
      <c r="BM21" s="30">
        <v>4.9000000000000004</v>
      </c>
      <c r="BN21" s="30">
        <v>11.9</v>
      </c>
      <c r="BO21" s="35">
        <f t="shared" si="22"/>
        <v>7.9666666666666659</v>
      </c>
      <c r="BP21" s="32">
        <f t="shared" si="23"/>
        <v>1.0898333333333334</v>
      </c>
      <c r="BQ21" s="30" t="s">
        <v>27</v>
      </c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</row>
    <row r="22" spans="1:81" ht="45">
      <c r="A22" s="58" t="s">
        <v>141</v>
      </c>
      <c r="B22" s="58" t="s">
        <v>138</v>
      </c>
      <c r="C22" s="29" t="s">
        <v>244</v>
      </c>
      <c r="D22" s="30">
        <v>140</v>
      </c>
      <c r="E22" s="31">
        <f t="shared" si="0"/>
        <v>1250576</v>
      </c>
      <c r="F22" s="32">
        <f t="shared" si="1"/>
        <v>1.2557157773559806</v>
      </c>
      <c r="G22" s="33">
        <f t="shared" si="2"/>
        <v>18.844810191496247</v>
      </c>
      <c r="H22" s="34">
        <f t="shared" si="3"/>
        <v>0.19908963836258939</v>
      </c>
      <c r="I22" s="35">
        <f t="shared" si="4"/>
        <v>2.5</v>
      </c>
      <c r="J22" s="36">
        <f t="shared" si="5"/>
        <v>18.844810191496247</v>
      </c>
      <c r="K22" s="32">
        <f t="shared" si="6"/>
        <v>1.2557157773559806</v>
      </c>
      <c r="L22" s="34">
        <f t="shared" si="7"/>
        <v>0.18909891248623339</v>
      </c>
      <c r="M22" s="32">
        <f t="shared" si="8"/>
        <v>1.3220594275929549</v>
      </c>
      <c r="N22" s="31">
        <v>1250576</v>
      </c>
      <c r="O22" s="31">
        <f>N22*0.89</f>
        <v>1113012.6400000001</v>
      </c>
      <c r="P22" s="31">
        <f t="shared" si="9"/>
        <v>435826.4952</v>
      </c>
      <c r="Q22" s="37">
        <f t="shared" si="10"/>
        <v>1181794.32</v>
      </c>
      <c r="R22" s="31">
        <f t="shared" si="11"/>
        <v>212722.97760000001</v>
      </c>
      <c r="S22" s="31">
        <f t="shared" si="12"/>
        <v>122640</v>
      </c>
      <c r="T22" s="38">
        <v>0.11</v>
      </c>
      <c r="U22" s="31">
        <f t="shared" si="13"/>
        <v>129997.37520000001</v>
      </c>
      <c r="V22" s="30"/>
      <c r="W22" s="30">
        <v>7.3</v>
      </c>
      <c r="X22" s="30"/>
      <c r="Y22" s="30">
        <v>17</v>
      </c>
      <c r="Z22" s="30"/>
      <c r="AA22" s="30">
        <v>4.5</v>
      </c>
      <c r="AB22" s="31">
        <f t="shared" si="14"/>
        <v>191844</v>
      </c>
      <c r="AC22" s="31">
        <f t="shared" si="15"/>
        <v>0</v>
      </c>
      <c r="AD22" s="31">
        <f t="shared" si="16"/>
        <v>1638.12</v>
      </c>
      <c r="AE22" s="31">
        <f t="shared" si="17"/>
        <v>112347</v>
      </c>
      <c r="AF22" s="30">
        <f t="shared" si="18"/>
        <v>19710</v>
      </c>
      <c r="AG22" s="31">
        <f t="shared" si="19"/>
        <v>112347</v>
      </c>
      <c r="AH22" s="30"/>
      <c r="AI22" s="30">
        <v>5.7</v>
      </c>
      <c r="AJ22" s="30">
        <v>2.1999999999999999E-2</v>
      </c>
      <c r="AK22" s="30"/>
      <c r="AL22" s="30">
        <v>6</v>
      </c>
      <c r="AM22" s="30"/>
      <c r="AN22" s="30" t="s">
        <v>139</v>
      </c>
      <c r="AO22" s="30">
        <v>7.7953615000000003</v>
      </c>
      <c r="AP22" s="30">
        <v>2050</v>
      </c>
      <c r="AQ22" s="30"/>
      <c r="AR22" s="30">
        <v>60</v>
      </c>
      <c r="AS22" s="30"/>
      <c r="AT22" s="30"/>
      <c r="AU22" s="30" t="s">
        <v>140</v>
      </c>
      <c r="AV22" s="30">
        <v>22</v>
      </c>
      <c r="AW22" s="30"/>
      <c r="AX22" s="30" t="s">
        <v>142</v>
      </c>
      <c r="AY22" s="30">
        <v>16</v>
      </c>
      <c r="AZ22" s="30">
        <v>1</v>
      </c>
      <c r="BA22" s="30" t="s">
        <v>16</v>
      </c>
      <c r="BB22" s="30" t="s">
        <v>143</v>
      </c>
      <c r="BC22" s="30"/>
      <c r="BD22" s="30"/>
      <c r="BE22" s="30"/>
      <c r="BF22" s="30">
        <v>140</v>
      </c>
      <c r="BG22" s="30">
        <f t="shared" si="20"/>
        <v>1680</v>
      </c>
      <c r="BH22" s="30"/>
      <c r="BI22" s="30"/>
      <c r="BJ22" s="30">
        <f t="shared" si="21"/>
        <v>613200</v>
      </c>
      <c r="BK22" s="30">
        <v>6</v>
      </c>
      <c r="BL22" s="30">
        <v>5</v>
      </c>
      <c r="BM22" s="30">
        <v>2.7</v>
      </c>
      <c r="BN22" s="30">
        <v>1</v>
      </c>
      <c r="BO22" s="35">
        <f t="shared" si="22"/>
        <v>4.5666666666666664</v>
      </c>
      <c r="BP22" s="32">
        <f t="shared" si="23"/>
        <v>1.0528333333333333</v>
      </c>
      <c r="BQ22" s="30" t="s">
        <v>305</v>
      </c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</row>
    <row r="23" spans="1:81" ht="45">
      <c r="A23" s="58" t="s">
        <v>130</v>
      </c>
      <c r="B23" s="58" t="s">
        <v>126</v>
      </c>
      <c r="C23" s="29" t="s">
        <v>244</v>
      </c>
      <c r="D23" s="30">
        <v>150</v>
      </c>
      <c r="E23" s="31">
        <f t="shared" si="0"/>
        <v>1419576</v>
      </c>
      <c r="F23" s="32">
        <f t="shared" si="1"/>
        <v>1.2618104553798732</v>
      </c>
      <c r="G23" s="33">
        <f t="shared" si="2"/>
        <v>20.063632509206524</v>
      </c>
      <c r="H23" s="34">
        <f t="shared" si="3"/>
        <v>0.19812801434169167</v>
      </c>
      <c r="I23" s="35">
        <f t="shared" si="4"/>
        <v>2.5</v>
      </c>
      <c r="J23" s="36">
        <f t="shared" si="5"/>
        <v>20.063632509206524</v>
      </c>
      <c r="K23" s="32">
        <f t="shared" si="6"/>
        <v>1.2618104553798732</v>
      </c>
      <c r="L23" s="34">
        <f t="shared" si="7"/>
        <v>0.18785842067796304</v>
      </c>
      <c r="M23" s="32">
        <f t="shared" si="8"/>
        <v>1.3307894269406393</v>
      </c>
      <c r="N23" s="31">
        <v>1419576</v>
      </c>
      <c r="O23" s="31">
        <f>N23*0.89</f>
        <v>1263422.6400000001</v>
      </c>
      <c r="P23" s="31">
        <f t="shared" si="9"/>
        <v>457993.04519999999</v>
      </c>
      <c r="Q23" s="37">
        <f t="shared" si="10"/>
        <v>1341499.32</v>
      </c>
      <c r="R23" s="31">
        <f t="shared" si="11"/>
        <v>241469.87760000001</v>
      </c>
      <c r="S23" s="31">
        <f t="shared" si="12"/>
        <v>131400</v>
      </c>
      <c r="T23" s="38">
        <v>0.11</v>
      </c>
      <c r="U23" s="31">
        <f t="shared" si="13"/>
        <v>147564.9252</v>
      </c>
      <c r="V23" s="30"/>
      <c r="W23" s="30">
        <v>7</v>
      </c>
      <c r="X23" s="30"/>
      <c r="Y23" s="30">
        <v>17</v>
      </c>
      <c r="Z23" s="30"/>
      <c r="AA23" s="30">
        <v>5</v>
      </c>
      <c r="AB23" s="31">
        <f t="shared" si="14"/>
        <v>183960</v>
      </c>
      <c r="AC23" s="31">
        <f t="shared" si="15"/>
        <v>0</v>
      </c>
      <c r="AD23" s="31">
        <f t="shared" si="16"/>
        <v>1638.12</v>
      </c>
      <c r="AE23" s="31">
        <f t="shared" si="17"/>
        <v>124830</v>
      </c>
      <c r="AF23" s="30">
        <f t="shared" si="18"/>
        <v>21900</v>
      </c>
      <c r="AG23" s="31">
        <f t="shared" si="19"/>
        <v>124830</v>
      </c>
      <c r="AH23" s="30"/>
      <c r="AI23" s="30">
        <v>5.7</v>
      </c>
      <c r="AJ23" s="30">
        <v>2.1999999999999999E-2</v>
      </c>
      <c r="AK23" s="30"/>
      <c r="AL23" s="30">
        <v>6</v>
      </c>
      <c r="AM23" s="30"/>
      <c r="AN23" s="30" t="s">
        <v>163</v>
      </c>
      <c r="AO23" s="30">
        <v>9.5383600000000008</v>
      </c>
      <c r="AP23" s="30">
        <v>2250</v>
      </c>
      <c r="AQ23" s="30"/>
      <c r="AR23" s="30">
        <v>60</v>
      </c>
      <c r="AS23" s="30" t="s">
        <v>122</v>
      </c>
      <c r="AT23" s="30"/>
      <c r="AU23" s="30"/>
      <c r="AV23" s="30">
        <v>24</v>
      </c>
      <c r="AW23" s="30"/>
      <c r="AX23" s="30" t="s">
        <v>124</v>
      </c>
      <c r="AY23" s="30">
        <v>18</v>
      </c>
      <c r="AZ23" s="30">
        <v>1</v>
      </c>
      <c r="BA23" s="30" t="s">
        <v>36</v>
      </c>
      <c r="BB23" s="30">
        <v>8.6</v>
      </c>
      <c r="BC23" s="30"/>
      <c r="BD23" s="30"/>
      <c r="BE23" s="30"/>
      <c r="BF23" s="30">
        <v>150</v>
      </c>
      <c r="BG23" s="30">
        <f t="shared" si="20"/>
        <v>1800</v>
      </c>
      <c r="BH23" s="30"/>
      <c r="BI23" s="30"/>
      <c r="BJ23" s="30">
        <f t="shared" si="21"/>
        <v>657000</v>
      </c>
      <c r="BK23" s="30">
        <v>6</v>
      </c>
      <c r="BL23" s="30">
        <v>6</v>
      </c>
      <c r="BM23" s="30">
        <v>2.8</v>
      </c>
      <c r="BN23" s="30">
        <v>1.5</v>
      </c>
      <c r="BO23" s="35">
        <f t="shared" si="22"/>
        <v>4.9333333333333336</v>
      </c>
      <c r="BP23" s="32">
        <f t="shared" si="23"/>
        <v>1.0546666666666666</v>
      </c>
      <c r="BQ23" s="30" t="s">
        <v>305</v>
      </c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</row>
    <row r="24" spans="1:81" ht="45">
      <c r="A24" s="58" t="s">
        <v>141</v>
      </c>
      <c r="B24" s="58" t="s">
        <v>147</v>
      </c>
      <c r="C24" s="29" t="s">
        <v>244</v>
      </c>
      <c r="D24" s="30">
        <v>150</v>
      </c>
      <c r="E24" s="31">
        <f t="shared" si="0"/>
        <v>1434505</v>
      </c>
      <c r="F24" s="32">
        <f t="shared" si="1"/>
        <v>1.3094254888960206</v>
      </c>
      <c r="G24" s="33">
        <f t="shared" si="2"/>
        <v>21.085482064219619</v>
      </c>
      <c r="H24" s="34">
        <f t="shared" si="3"/>
        <v>0.19092342567027273</v>
      </c>
      <c r="I24" s="35">
        <f t="shared" si="4"/>
        <v>2.5</v>
      </c>
      <c r="J24" s="36">
        <f t="shared" si="5"/>
        <v>21.085482064219619</v>
      </c>
      <c r="K24" s="32">
        <f t="shared" si="6"/>
        <v>1.3094254888960206</v>
      </c>
      <c r="L24" s="34">
        <f t="shared" si="7"/>
        <v>0.18134249707481978</v>
      </c>
      <c r="M24" s="32">
        <f t="shared" si="8"/>
        <v>1.3786068022260272</v>
      </c>
      <c r="N24" s="31">
        <v>1434505</v>
      </c>
      <c r="O24" s="31">
        <f>N24*0.89</f>
        <v>1276709.45</v>
      </c>
      <c r="P24" s="31">
        <f t="shared" si="9"/>
        <v>480586.43474999996</v>
      </c>
      <c r="Q24" s="37">
        <f t="shared" si="10"/>
        <v>1355607.2250000001</v>
      </c>
      <c r="R24" s="31">
        <f t="shared" si="11"/>
        <v>244009.30050000001</v>
      </c>
      <c r="S24" s="31">
        <f t="shared" si="12"/>
        <v>131400</v>
      </c>
      <c r="T24" s="38">
        <v>0.11</v>
      </c>
      <c r="U24" s="31">
        <f t="shared" si="13"/>
        <v>149116.79475</v>
      </c>
      <c r="V24" s="30"/>
      <c r="W24" s="30">
        <v>9.1999999999999993</v>
      </c>
      <c r="X24" s="30"/>
      <c r="Y24" s="30">
        <v>24</v>
      </c>
      <c r="Z24" s="30"/>
      <c r="AA24" s="30">
        <v>3.5</v>
      </c>
      <c r="AB24" s="31">
        <f t="shared" si="14"/>
        <v>241775.99999999994</v>
      </c>
      <c r="AC24" s="31">
        <f t="shared" si="15"/>
        <v>0</v>
      </c>
      <c r="AD24" s="31">
        <f t="shared" si="16"/>
        <v>2312.64</v>
      </c>
      <c r="AE24" s="31">
        <f t="shared" si="17"/>
        <v>87381</v>
      </c>
      <c r="AF24" s="30">
        <f t="shared" si="18"/>
        <v>15330</v>
      </c>
      <c r="AG24" s="31">
        <f t="shared" si="19"/>
        <v>87381</v>
      </c>
      <c r="AH24" s="30"/>
      <c r="AI24" s="30">
        <v>5.7</v>
      </c>
      <c r="AJ24" s="30">
        <v>2.1999999999999999E-2</v>
      </c>
      <c r="AK24" s="30"/>
      <c r="AL24" s="30">
        <v>6</v>
      </c>
      <c r="AM24" s="30"/>
      <c r="AN24" s="30" t="s">
        <v>149</v>
      </c>
      <c r="AO24" s="30">
        <v>11.00925</v>
      </c>
      <c r="AP24" s="30">
        <v>2300</v>
      </c>
      <c r="AQ24" s="30"/>
      <c r="AR24" s="30">
        <v>80</v>
      </c>
      <c r="AS24" s="30"/>
      <c r="AT24" s="30"/>
      <c r="AU24" s="30" t="s">
        <v>140</v>
      </c>
      <c r="AV24" s="30">
        <v>25</v>
      </c>
      <c r="AW24" s="30"/>
      <c r="AX24" s="30" t="s">
        <v>148</v>
      </c>
      <c r="AY24" s="30">
        <v>17</v>
      </c>
      <c r="AZ24" s="30">
        <v>1</v>
      </c>
      <c r="BA24" s="30" t="s">
        <v>82</v>
      </c>
      <c r="BB24" s="30" t="s">
        <v>150</v>
      </c>
      <c r="BC24" s="30"/>
      <c r="BD24" s="30"/>
      <c r="BE24" s="30"/>
      <c r="BF24" s="30">
        <v>150</v>
      </c>
      <c r="BG24" s="30">
        <f t="shared" si="20"/>
        <v>1800</v>
      </c>
      <c r="BH24" s="30"/>
      <c r="BI24" s="30"/>
      <c r="BJ24" s="30">
        <f t="shared" si="21"/>
        <v>657000</v>
      </c>
      <c r="BK24" s="30">
        <v>6</v>
      </c>
      <c r="BL24" s="30">
        <v>5</v>
      </c>
      <c r="BM24" s="30">
        <v>2.7</v>
      </c>
      <c r="BN24" s="30">
        <v>1</v>
      </c>
      <c r="BO24" s="35">
        <f t="shared" si="22"/>
        <v>4.5666666666666664</v>
      </c>
      <c r="BP24" s="32">
        <f t="shared" si="23"/>
        <v>1.0528333333333333</v>
      </c>
      <c r="BQ24" s="30" t="s">
        <v>305</v>
      </c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</row>
    <row r="25" spans="1:81" ht="45">
      <c r="A25" s="58" t="s">
        <v>130</v>
      </c>
      <c r="B25" s="58" t="s">
        <v>134</v>
      </c>
      <c r="C25" s="29" t="s">
        <v>244</v>
      </c>
      <c r="D25" s="30">
        <v>160</v>
      </c>
      <c r="E25" s="31">
        <f t="shared" si="0"/>
        <v>1604738</v>
      </c>
      <c r="F25" s="32">
        <f t="shared" si="1"/>
        <v>1.314352174079813</v>
      </c>
      <c r="G25" s="33">
        <f t="shared" si="2"/>
        <v>22.205356630302024</v>
      </c>
      <c r="H25" s="34">
        <f t="shared" si="3"/>
        <v>0.19020777302325895</v>
      </c>
      <c r="I25" s="35">
        <f t="shared" si="4"/>
        <v>2.5</v>
      </c>
      <c r="J25" s="36">
        <f t="shared" si="5"/>
        <v>22.205356630302024</v>
      </c>
      <c r="K25" s="32">
        <f t="shared" si="6"/>
        <v>1.314352174079813</v>
      </c>
      <c r="L25" s="34">
        <f t="shared" si="7"/>
        <v>0.18034871019904453</v>
      </c>
      <c r="M25" s="32">
        <f t="shared" si="8"/>
        <v>1.3862034262628427</v>
      </c>
      <c r="N25" s="31">
        <v>1604738</v>
      </c>
      <c r="O25" s="31">
        <f>N25*0.89</f>
        <v>1428216.82</v>
      </c>
      <c r="P25" s="31">
        <f t="shared" si="9"/>
        <v>504195.15510000003</v>
      </c>
      <c r="Q25" s="37">
        <f t="shared" si="10"/>
        <v>1516477.4100000001</v>
      </c>
      <c r="R25" s="31">
        <f t="shared" si="11"/>
        <v>272965.9338</v>
      </c>
      <c r="S25" s="31">
        <f t="shared" si="12"/>
        <v>140160</v>
      </c>
      <c r="T25" s="38">
        <v>0.11</v>
      </c>
      <c r="U25" s="31">
        <f t="shared" si="13"/>
        <v>166812.51510000002</v>
      </c>
      <c r="V25" s="30"/>
      <c r="W25" s="30">
        <v>8</v>
      </c>
      <c r="X25" s="30"/>
      <c r="Y25" s="30">
        <v>24</v>
      </c>
      <c r="Z25" s="30"/>
      <c r="AA25" s="30">
        <v>5</v>
      </c>
      <c r="AB25" s="31">
        <f t="shared" si="14"/>
        <v>210240</v>
      </c>
      <c r="AC25" s="31">
        <f t="shared" si="15"/>
        <v>0</v>
      </c>
      <c r="AD25" s="31">
        <f t="shared" si="16"/>
        <v>2312.64</v>
      </c>
      <c r="AE25" s="31">
        <f t="shared" si="17"/>
        <v>124830</v>
      </c>
      <c r="AF25" s="30">
        <f t="shared" si="18"/>
        <v>21900</v>
      </c>
      <c r="AG25" s="31">
        <f t="shared" si="19"/>
        <v>124830</v>
      </c>
      <c r="AH25" s="30"/>
      <c r="AI25" s="30">
        <v>5.7</v>
      </c>
      <c r="AJ25" s="30">
        <v>2.1999999999999999E-2</v>
      </c>
      <c r="AK25" s="30"/>
      <c r="AL25" s="30">
        <v>6</v>
      </c>
      <c r="AM25" s="30"/>
      <c r="AN25" s="30" t="s">
        <v>131</v>
      </c>
      <c r="AO25" s="30">
        <v>11.4374</v>
      </c>
      <c r="AP25" s="30">
        <v>2800</v>
      </c>
      <c r="AQ25" s="30"/>
      <c r="AR25" s="30">
        <v>80</v>
      </c>
      <c r="AS25" s="30" t="s">
        <v>132</v>
      </c>
      <c r="AT25" s="30"/>
      <c r="AU25" s="30" t="s">
        <v>129</v>
      </c>
      <c r="AV25" s="30">
        <v>27</v>
      </c>
      <c r="AW25" s="30"/>
      <c r="AX25" s="30" t="s">
        <v>124</v>
      </c>
      <c r="AY25" s="30">
        <v>18</v>
      </c>
      <c r="AZ25" s="30">
        <v>1</v>
      </c>
      <c r="BA25" s="30" t="s">
        <v>82</v>
      </c>
      <c r="BB25" s="30">
        <v>14.4</v>
      </c>
      <c r="BC25" s="30"/>
      <c r="BD25" s="30"/>
      <c r="BE25" s="30"/>
      <c r="BF25" s="30">
        <v>160</v>
      </c>
      <c r="BG25" s="30">
        <f t="shared" si="20"/>
        <v>1920</v>
      </c>
      <c r="BH25" s="30"/>
      <c r="BI25" s="30"/>
      <c r="BJ25" s="30">
        <f t="shared" si="21"/>
        <v>700800</v>
      </c>
      <c r="BK25" s="30">
        <v>6</v>
      </c>
      <c r="BL25" s="30">
        <v>6</v>
      </c>
      <c r="BM25" s="30">
        <v>2.8</v>
      </c>
      <c r="BN25" s="30">
        <v>1.5</v>
      </c>
      <c r="BO25" s="35">
        <f t="shared" si="22"/>
        <v>4.9333333333333336</v>
      </c>
      <c r="BP25" s="32">
        <f t="shared" si="23"/>
        <v>1.0546666666666666</v>
      </c>
      <c r="BQ25" s="30" t="s">
        <v>305</v>
      </c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</row>
    <row r="26" spans="1:81" ht="45">
      <c r="A26" s="58" t="s">
        <v>340</v>
      </c>
      <c r="B26" s="58" t="s">
        <v>343</v>
      </c>
      <c r="C26" s="29" t="s">
        <v>244</v>
      </c>
      <c r="D26" s="30">
        <v>120</v>
      </c>
      <c r="E26" s="31">
        <f t="shared" si="0"/>
        <v>2153124.48</v>
      </c>
      <c r="F26" s="32">
        <f t="shared" si="1"/>
        <v>1.385454003198026</v>
      </c>
      <c r="G26" s="33">
        <f t="shared" si="2"/>
        <v>43.153369198664286</v>
      </c>
      <c r="H26" s="34">
        <f t="shared" si="3"/>
        <v>0.18044626485103668</v>
      </c>
      <c r="I26" s="35">
        <f t="shared" si="4"/>
        <v>2.5</v>
      </c>
      <c r="J26" s="36">
        <f t="shared" si="5"/>
        <v>43.153369198664286</v>
      </c>
      <c r="K26" s="32">
        <f t="shared" si="6"/>
        <v>1.385454003198026</v>
      </c>
      <c r="L26" s="34">
        <f t="shared" si="7"/>
        <v>0.16585134637043811</v>
      </c>
      <c r="M26" s="32">
        <f t="shared" si="8"/>
        <v>1.5073739554794523</v>
      </c>
      <c r="N26" s="31">
        <v>2153124.48</v>
      </c>
      <c r="O26" s="31">
        <f>N26*0.93</f>
        <v>2002405.7664000001</v>
      </c>
      <c r="P26" s="31">
        <f t="shared" si="9"/>
        <v>259822.87862400006</v>
      </c>
      <c r="Q26" s="37">
        <f t="shared" si="10"/>
        <v>2077765.1232</v>
      </c>
      <c r="R26" s="31">
        <f t="shared" si="11"/>
        <v>373997.72217600001</v>
      </c>
      <c r="S26" s="30">
        <f t="shared" si="12"/>
        <v>105120</v>
      </c>
      <c r="T26" s="38">
        <v>7.0000000000000007E-2</v>
      </c>
      <c r="U26" s="31">
        <f t="shared" si="13"/>
        <v>145443.55862400003</v>
      </c>
      <c r="V26" s="30"/>
      <c r="W26" s="30">
        <v>2.2000000000000002</v>
      </c>
      <c r="X26" s="30"/>
      <c r="Y26" s="30">
        <v>17</v>
      </c>
      <c r="Z26" s="30"/>
      <c r="AA26" s="30">
        <v>2.2000000000000002</v>
      </c>
      <c r="AB26" s="31">
        <f t="shared" si="14"/>
        <v>57816.000000000015</v>
      </c>
      <c r="AC26" s="31">
        <f t="shared" si="15"/>
        <v>0</v>
      </c>
      <c r="AD26" s="31">
        <f t="shared" si="16"/>
        <v>1638.12</v>
      </c>
      <c r="AE26" s="31">
        <f t="shared" si="17"/>
        <v>54925.200000000012</v>
      </c>
      <c r="AF26" s="30">
        <f t="shared" si="18"/>
        <v>9636.0000000000018</v>
      </c>
      <c r="AG26" s="31">
        <f t="shared" si="19"/>
        <v>54925.200000000012</v>
      </c>
      <c r="AH26" s="30"/>
      <c r="AI26" s="30">
        <v>5.7</v>
      </c>
      <c r="AJ26" s="30">
        <v>2.1999999999999999E-2</v>
      </c>
      <c r="AK26" s="30">
        <v>34</v>
      </c>
      <c r="AL26" s="30">
        <v>6</v>
      </c>
      <c r="AM26" s="30"/>
      <c r="AN26" s="30" t="s">
        <v>349</v>
      </c>
      <c r="AO26" s="30">
        <v>6.73</v>
      </c>
      <c r="AP26" s="44">
        <v>1450</v>
      </c>
      <c r="AQ26" s="30"/>
      <c r="AR26" s="30">
        <v>80</v>
      </c>
      <c r="AS26" s="30"/>
      <c r="AT26" s="30"/>
      <c r="AU26" s="30" t="s">
        <v>347</v>
      </c>
      <c r="AV26" s="30"/>
      <c r="AW26" s="30"/>
      <c r="AX26" s="30"/>
      <c r="AY26" s="30"/>
      <c r="AZ26" s="30">
        <v>1</v>
      </c>
      <c r="BA26" s="30" t="s">
        <v>16</v>
      </c>
      <c r="BB26" s="30"/>
      <c r="BC26" s="30"/>
      <c r="BD26" s="30"/>
      <c r="BE26" s="30"/>
      <c r="BF26" s="30">
        <v>120</v>
      </c>
      <c r="BG26" s="30">
        <f t="shared" si="20"/>
        <v>1440</v>
      </c>
      <c r="BH26" s="30">
        <v>300</v>
      </c>
      <c r="BI26" s="30">
        <v>600</v>
      </c>
      <c r="BJ26" s="30">
        <f t="shared" si="21"/>
        <v>525600</v>
      </c>
      <c r="BK26" s="30">
        <v>10</v>
      </c>
      <c r="BL26" s="30">
        <v>8</v>
      </c>
      <c r="BM26" s="30">
        <v>4.8</v>
      </c>
      <c r="BN26" s="30">
        <v>6</v>
      </c>
      <c r="BO26" s="35">
        <f t="shared" si="22"/>
        <v>7.6000000000000005</v>
      </c>
      <c r="BP26" s="32">
        <f t="shared" si="23"/>
        <v>1.0880000000000001</v>
      </c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</row>
    <row r="27" spans="1:81" ht="45">
      <c r="A27" s="58" t="s">
        <v>130</v>
      </c>
      <c r="B27" s="58" t="s">
        <v>125</v>
      </c>
      <c r="C27" s="29" t="s">
        <v>244</v>
      </c>
      <c r="D27" s="30">
        <v>120</v>
      </c>
      <c r="E27" s="31">
        <f t="shared" si="0"/>
        <v>1296134</v>
      </c>
      <c r="F27" s="32">
        <f t="shared" si="1"/>
        <v>1.3983204735043642</v>
      </c>
      <c r="G27" s="33">
        <f t="shared" si="2"/>
        <v>25.736097084592881</v>
      </c>
      <c r="H27" s="34">
        <f t="shared" si="3"/>
        <v>0.17878591119635762</v>
      </c>
      <c r="I27" s="35">
        <f t="shared" si="4"/>
        <v>2.5</v>
      </c>
      <c r="J27" s="36">
        <f t="shared" si="5"/>
        <v>25.736097084592881</v>
      </c>
      <c r="K27" s="32">
        <f t="shared" si="6"/>
        <v>1.3983204735043642</v>
      </c>
      <c r="L27" s="34">
        <f t="shared" si="7"/>
        <v>0.16951887913687513</v>
      </c>
      <c r="M27" s="32">
        <f t="shared" si="8"/>
        <v>1.4747619927226028</v>
      </c>
      <c r="N27" s="31">
        <v>1296134</v>
      </c>
      <c r="O27" s="31">
        <f>N27*0.89</f>
        <v>1153559.26</v>
      </c>
      <c r="P27" s="31">
        <f t="shared" si="9"/>
        <v>399635.52930000005</v>
      </c>
      <c r="Q27" s="37">
        <f t="shared" si="10"/>
        <v>1224846.6299999999</v>
      </c>
      <c r="R27" s="31">
        <f t="shared" si="11"/>
        <v>220472.39339999997</v>
      </c>
      <c r="S27" s="31">
        <f t="shared" si="12"/>
        <v>105120</v>
      </c>
      <c r="T27" s="38">
        <v>0.11</v>
      </c>
      <c r="U27" s="31">
        <f t="shared" si="13"/>
        <v>134733.1293</v>
      </c>
      <c r="V27" s="30"/>
      <c r="W27" s="30">
        <v>6.7</v>
      </c>
      <c r="X27" s="30"/>
      <c r="Y27" s="30">
        <v>15</v>
      </c>
      <c r="Z27" s="30"/>
      <c r="AA27" s="30">
        <v>3.5</v>
      </c>
      <c r="AB27" s="31">
        <f t="shared" si="14"/>
        <v>176076</v>
      </c>
      <c r="AC27" s="31">
        <f t="shared" si="15"/>
        <v>0</v>
      </c>
      <c r="AD27" s="31">
        <f t="shared" si="16"/>
        <v>1445.3999999999999</v>
      </c>
      <c r="AE27" s="31">
        <f t="shared" si="17"/>
        <v>87381</v>
      </c>
      <c r="AF27" s="30">
        <f t="shared" si="18"/>
        <v>15330</v>
      </c>
      <c r="AG27" s="31">
        <f t="shared" si="19"/>
        <v>87381</v>
      </c>
      <c r="AH27" s="30"/>
      <c r="AI27" s="30">
        <v>5.7</v>
      </c>
      <c r="AJ27" s="30">
        <v>2.1999999999999999E-2</v>
      </c>
      <c r="AK27" s="30"/>
      <c r="AL27" s="30">
        <v>6</v>
      </c>
      <c r="AM27" s="30"/>
      <c r="AN27" s="30" t="s">
        <v>162</v>
      </c>
      <c r="AO27" s="30">
        <v>13.38208</v>
      </c>
      <c r="AP27" s="30">
        <v>1700</v>
      </c>
      <c r="AQ27" s="30"/>
      <c r="AR27" s="30">
        <v>45</v>
      </c>
      <c r="AS27" s="30" t="s">
        <v>120</v>
      </c>
      <c r="AT27" s="30"/>
      <c r="AU27" s="30"/>
      <c r="AV27" s="30">
        <v>22</v>
      </c>
      <c r="AW27" s="30"/>
      <c r="AX27" s="30" t="s">
        <v>121</v>
      </c>
      <c r="AY27" s="30">
        <v>15</v>
      </c>
      <c r="AZ27" s="30">
        <v>1</v>
      </c>
      <c r="BA27" s="30" t="s">
        <v>36</v>
      </c>
      <c r="BB27" s="30">
        <v>7.2</v>
      </c>
      <c r="BC27" s="30"/>
      <c r="BD27" s="30"/>
      <c r="BE27" s="30"/>
      <c r="BF27" s="30">
        <v>120</v>
      </c>
      <c r="BG27" s="30">
        <f t="shared" si="20"/>
        <v>1440</v>
      </c>
      <c r="BH27" s="30"/>
      <c r="BI27" s="30"/>
      <c r="BJ27" s="30">
        <f t="shared" si="21"/>
        <v>525600</v>
      </c>
      <c r="BK27" s="30">
        <v>6</v>
      </c>
      <c r="BL27" s="30">
        <v>6</v>
      </c>
      <c r="BM27" s="30">
        <v>2.8</v>
      </c>
      <c r="BN27" s="30">
        <v>1</v>
      </c>
      <c r="BO27" s="35">
        <f t="shared" si="22"/>
        <v>4.9333333333333336</v>
      </c>
      <c r="BP27" s="32">
        <f t="shared" si="23"/>
        <v>1.0546666666666666</v>
      </c>
      <c r="BQ27" s="30" t="s">
        <v>305</v>
      </c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</row>
    <row r="28" spans="1:81" ht="45">
      <c r="A28" s="58" t="s">
        <v>34</v>
      </c>
      <c r="B28" s="58" t="s">
        <v>92</v>
      </c>
      <c r="C28" s="29" t="s">
        <v>244</v>
      </c>
      <c r="D28" s="30">
        <v>150</v>
      </c>
      <c r="E28" s="31">
        <f t="shared" si="0"/>
        <v>2500000</v>
      </c>
      <c r="F28" s="32">
        <f t="shared" si="1"/>
        <v>1.4444460973500899</v>
      </c>
      <c r="G28" s="33">
        <f t="shared" si="2"/>
        <v>42.324627680092384</v>
      </c>
      <c r="H28" s="34">
        <f t="shared" si="3"/>
        <v>0.17307672502188745</v>
      </c>
      <c r="I28" s="35">
        <f t="shared" si="4"/>
        <v>2.5</v>
      </c>
      <c r="J28" s="36">
        <f t="shared" si="5"/>
        <v>42.324627680092384</v>
      </c>
      <c r="K28" s="32">
        <f t="shared" si="6"/>
        <v>1.4444460973500899</v>
      </c>
      <c r="L28" s="34">
        <f t="shared" si="7"/>
        <v>0.15883455951840392</v>
      </c>
      <c r="M28" s="32">
        <f t="shared" si="8"/>
        <v>1.5739647640791479</v>
      </c>
      <c r="N28" s="31">
        <v>2500000</v>
      </c>
      <c r="O28" s="31">
        <f>N28*0.93</f>
        <v>2325000</v>
      </c>
      <c r="P28" s="31">
        <f t="shared" si="9"/>
        <v>393025.88000000006</v>
      </c>
      <c r="Q28" s="37">
        <f t="shared" si="10"/>
        <v>2412500</v>
      </c>
      <c r="R28" s="31">
        <f t="shared" si="11"/>
        <v>434250</v>
      </c>
      <c r="S28" s="31">
        <f t="shared" si="12"/>
        <v>131400</v>
      </c>
      <c r="T28" s="38">
        <v>7.0000000000000007E-2</v>
      </c>
      <c r="U28" s="31">
        <f t="shared" si="13"/>
        <v>168875.00000000003</v>
      </c>
      <c r="V28" s="30"/>
      <c r="W28" s="30">
        <v>5.5</v>
      </c>
      <c r="X28" s="30"/>
      <c r="Y28" s="30">
        <v>23</v>
      </c>
      <c r="Z28" s="30"/>
      <c r="AA28" s="30">
        <v>3.1</v>
      </c>
      <c r="AB28" s="31">
        <f t="shared" si="14"/>
        <v>144540</v>
      </c>
      <c r="AC28" s="31">
        <f t="shared" si="15"/>
        <v>0</v>
      </c>
      <c r="AD28" s="31">
        <f t="shared" si="16"/>
        <v>2216.2799999999997</v>
      </c>
      <c r="AE28" s="31">
        <f t="shared" si="17"/>
        <v>77394.600000000006</v>
      </c>
      <c r="AF28" s="30">
        <f t="shared" si="18"/>
        <v>13578</v>
      </c>
      <c r="AG28" s="31">
        <f t="shared" si="19"/>
        <v>77394.600000000006</v>
      </c>
      <c r="AH28" s="30"/>
      <c r="AI28" s="30">
        <v>5.7</v>
      </c>
      <c r="AJ28" s="30">
        <v>2.1999999999999999E-2</v>
      </c>
      <c r="AK28" s="30"/>
      <c r="AL28" s="30">
        <v>6</v>
      </c>
      <c r="AM28" s="30"/>
      <c r="AN28" s="30" t="s">
        <v>95</v>
      </c>
      <c r="AO28" s="30">
        <v>11.611953359999999</v>
      </c>
      <c r="AP28" s="30">
        <v>1840</v>
      </c>
      <c r="AQ28" s="30"/>
      <c r="AR28" s="30">
        <v>100</v>
      </c>
      <c r="AS28" s="30" t="s">
        <v>55</v>
      </c>
      <c r="AT28" s="30"/>
      <c r="AU28" s="30" t="s">
        <v>94</v>
      </c>
      <c r="AV28" s="30">
        <v>19</v>
      </c>
      <c r="AW28" s="30" t="s">
        <v>55</v>
      </c>
      <c r="AX28" s="30" t="s">
        <v>55</v>
      </c>
      <c r="AY28" s="30"/>
      <c r="AZ28" s="30">
        <v>1</v>
      </c>
      <c r="BA28" s="30" t="s">
        <v>93</v>
      </c>
      <c r="BB28" s="30">
        <v>14</v>
      </c>
      <c r="BC28" s="30">
        <v>500</v>
      </c>
      <c r="BD28" s="30"/>
      <c r="BE28" s="30"/>
      <c r="BF28" s="30">
        <v>150</v>
      </c>
      <c r="BG28" s="30">
        <f t="shared" si="20"/>
        <v>1800</v>
      </c>
      <c r="BH28" s="30"/>
      <c r="BI28" s="30"/>
      <c r="BJ28" s="30">
        <f t="shared" si="21"/>
        <v>657000</v>
      </c>
      <c r="BK28" s="30">
        <v>10</v>
      </c>
      <c r="BL28" s="30">
        <v>9</v>
      </c>
      <c r="BM28" s="30">
        <v>4.8</v>
      </c>
      <c r="BN28" s="30">
        <v>9</v>
      </c>
      <c r="BO28" s="35">
        <f t="shared" si="22"/>
        <v>7.9333333333333336</v>
      </c>
      <c r="BP28" s="32">
        <f t="shared" si="23"/>
        <v>1.0896666666666666</v>
      </c>
      <c r="BQ28" s="30" t="s">
        <v>27</v>
      </c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</row>
    <row r="29" spans="1:81" ht="45">
      <c r="A29" s="58" t="s">
        <v>130</v>
      </c>
      <c r="B29" s="58" t="s">
        <v>135</v>
      </c>
      <c r="C29" s="29" t="s">
        <v>244</v>
      </c>
      <c r="D29" s="30">
        <v>140</v>
      </c>
      <c r="E29" s="31">
        <f t="shared" si="0"/>
        <v>1604738</v>
      </c>
      <c r="F29" s="32">
        <f t="shared" si="1"/>
        <v>1.4865058800030801</v>
      </c>
      <c r="G29" s="33">
        <f t="shared" si="2"/>
        <v>29.688221082221425</v>
      </c>
      <c r="H29" s="34">
        <f t="shared" si="3"/>
        <v>0.1681796240183604</v>
      </c>
      <c r="I29" s="35">
        <f t="shared" si="4"/>
        <v>2.5</v>
      </c>
      <c r="J29" s="36">
        <f t="shared" si="5"/>
        <v>29.688221082221425</v>
      </c>
      <c r="K29" s="32">
        <f t="shared" si="6"/>
        <v>1.4865058800030801</v>
      </c>
      <c r="L29" s="34">
        <f t="shared" si="7"/>
        <v>0.1594623489428196</v>
      </c>
      <c r="M29" s="32">
        <f t="shared" si="8"/>
        <v>1.5677682014432486</v>
      </c>
      <c r="N29" s="31">
        <v>1604738</v>
      </c>
      <c r="O29" s="31">
        <f>N29*0.89</f>
        <v>1428216.82</v>
      </c>
      <c r="P29" s="31">
        <f t="shared" si="9"/>
        <v>496118.4351</v>
      </c>
      <c r="Q29" s="37">
        <f t="shared" si="10"/>
        <v>1516477.4100000001</v>
      </c>
      <c r="R29" s="31">
        <f t="shared" si="11"/>
        <v>272965.9338</v>
      </c>
      <c r="S29" s="31">
        <f t="shared" si="12"/>
        <v>122640</v>
      </c>
      <c r="T29" s="38">
        <v>0.11</v>
      </c>
      <c r="U29" s="31">
        <f t="shared" si="13"/>
        <v>166812.51510000002</v>
      </c>
      <c r="V29" s="30"/>
      <c r="W29" s="30">
        <v>7.7</v>
      </c>
      <c r="X29" s="30"/>
      <c r="Y29" s="30">
        <v>22</v>
      </c>
      <c r="Z29" s="30"/>
      <c r="AA29" s="30">
        <v>5</v>
      </c>
      <c r="AB29" s="31">
        <f t="shared" si="14"/>
        <v>202356</v>
      </c>
      <c r="AC29" s="31">
        <f t="shared" si="15"/>
        <v>0</v>
      </c>
      <c r="AD29" s="31">
        <f t="shared" si="16"/>
        <v>2119.92</v>
      </c>
      <c r="AE29" s="31">
        <f t="shared" si="17"/>
        <v>124830</v>
      </c>
      <c r="AF29" s="30">
        <f t="shared" si="18"/>
        <v>21900</v>
      </c>
      <c r="AG29" s="31">
        <f t="shared" si="19"/>
        <v>124830</v>
      </c>
      <c r="AH29" s="30"/>
      <c r="AI29" s="30">
        <v>5.7</v>
      </c>
      <c r="AJ29" s="30">
        <v>2.1999999999999999E-2</v>
      </c>
      <c r="AK29" s="30"/>
      <c r="AL29" s="30">
        <v>6</v>
      </c>
      <c r="AM29" s="30"/>
      <c r="AN29" s="30" t="s">
        <v>131</v>
      </c>
      <c r="AO29" s="30">
        <v>14.802899999999999</v>
      </c>
      <c r="AP29" s="30">
        <v>2800</v>
      </c>
      <c r="AQ29" s="30"/>
      <c r="AR29" s="30">
        <v>80</v>
      </c>
      <c r="AS29" s="30" t="s">
        <v>132</v>
      </c>
      <c r="AT29" s="30"/>
      <c r="AU29" s="30" t="s">
        <v>129</v>
      </c>
      <c r="AV29" s="30">
        <v>25</v>
      </c>
      <c r="AW29" s="30"/>
      <c r="AX29" s="30" t="s">
        <v>124</v>
      </c>
      <c r="AY29" s="30">
        <v>18</v>
      </c>
      <c r="AZ29" s="30">
        <v>1</v>
      </c>
      <c r="BA29" s="30" t="s">
        <v>82</v>
      </c>
      <c r="BB29" s="30">
        <v>14.4</v>
      </c>
      <c r="BC29" s="30"/>
      <c r="BD29" s="30"/>
      <c r="BE29" s="30"/>
      <c r="BF29" s="30">
        <v>140</v>
      </c>
      <c r="BG29" s="30">
        <f t="shared" si="20"/>
        <v>1680</v>
      </c>
      <c r="BH29" s="30"/>
      <c r="BI29" s="30"/>
      <c r="BJ29" s="30">
        <f t="shared" si="21"/>
        <v>613200</v>
      </c>
      <c r="BK29" s="30">
        <v>6</v>
      </c>
      <c r="BL29" s="30">
        <v>6</v>
      </c>
      <c r="BM29" s="30">
        <v>2.8</v>
      </c>
      <c r="BN29" s="30">
        <v>1</v>
      </c>
      <c r="BO29" s="35">
        <f t="shared" si="22"/>
        <v>4.9333333333333336</v>
      </c>
      <c r="BP29" s="32">
        <f t="shared" si="23"/>
        <v>1.0546666666666666</v>
      </c>
      <c r="BQ29" s="30" t="s">
        <v>305</v>
      </c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</row>
    <row r="30" spans="1:81" ht="45">
      <c r="A30" s="58" t="s">
        <v>20</v>
      </c>
      <c r="B30" s="58" t="s">
        <v>296</v>
      </c>
      <c r="C30" s="29" t="s">
        <v>223</v>
      </c>
      <c r="D30" s="30">
        <v>180</v>
      </c>
      <c r="E30" s="31">
        <f t="shared" si="0"/>
        <v>950000</v>
      </c>
      <c r="F30" s="32">
        <f t="shared" si="1"/>
        <v>1.543577757370135</v>
      </c>
      <c r="G30" s="33">
        <f t="shared" si="2"/>
        <v>14.562050645650233</v>
      </c>
      <c r="H30" s="34">
        <f t="shared" si="3"/>
        <v>0.16196139054629591</v>
      </c>
      <c r="I30" s="35">
        <f t="shared" si="4"/>
        <v>2.5</v>
      </c>
      <c r="J30" s="36">
        <f t="shared" si="5"/>
        <v>14.562050645650233</v>
      </c>
      <c r="K30" s="32">
        <f t="shared" si="6"/>
        <v>1.543577757370135</v>
      </c>
      <c r="L30" s="34">
        <f t="shared" si="7"/>
        <v>0.15080203961480065</v>
      </c>
      <c r="M30" s="32">
        <f t="shared" si="8"/>
        <v>1.657802511415525</v>
      </c>
      <c r="N30" s="31">
        <v>950000</v>
      </c>
      <c r="O30" s="31">
        <f>N30*0.9</f>
        <v>855000</v>
      </c>
      <c r="P30" s="31">
        <f t="shared" si="9"/>
        <v>883159.2</v>
      </c>
      <c r="Q30" s="37">
        <f t="shared" si="10"/>
        <v>902500</v>
      </c>
      <c r="R30" s="31">
        <f t="shared" si="11"/>
        <v>162450</v>
      </c>
      <c r="S30" s="31">
        <f t="shared" si="12"/>
        <v>157680</v>
      </c>
      <c r="T30" s="38">
        <v>0.09</v>
      </c>
      <c r="U30" s="31">
        <f t="shared" si="13"/>
        <v>81225</v>
      </c>
      <c r="V30" s="30"/>
      <c r="W30" s="30"/>
      <c r="X30" s="30">
        <v>5</v>
      </c>
      <c r="Y30" s="30">
        <v>25</v>
      </c>
      <c r="Z30" s="30"/>
      <c r="AA30" s="30">
        <v>2.2000000000000002</v>
      </c>
      <c r="AB30" s="31">
        <f t="shared" si="14"/>
        <v>0</v>
      </c>
      <c r="AC30" s="31">
        <f t="shared" si="15"/>
        <v>744600</v>
      </c>
      <c r="AD30" s="31">
        <f t="shared" si="16"/>
        <v>2409</v>
      </c>
      <c r="AE30" s="31">
        <f t="shared" si="17"/>
        <v>54925.200000000012</v>
      </c>
      <c r="AF30" s="30">
        <f t="shared" si="18"/>
        <v>9636.0000000000018</v>
      </c>
      <c r="AG30" s="31">
        <f t="shared" si="19"/>
        <v>54925.200000000012</v>
      </c>
      <c r="AH30" s="30"/>
      <c r="AI30" s="30">
        <v>5.7</v>
      </c>
      <c r="AJ30" s="30">
        <v>2.1999999999999999E-2</v>
      </c>
      <c r="AK30" s="30">
        <v>34</v>
      </c>
      <c r="AL30" s="30"/>
      <c r="AM30" s="30"/>
      <c r="AN30" s="30" t="s">
        <v>110</v>
      </c>
      <c r="AO30" s="30">
        <v>13.072150499999999</v>
      </c>
      <c r="AP30" s="30">
        <v>1850</v>
      </c>
      <c r="AQ30" s="30"/>
      <c r="AR30" s="30">
        <v>78.900000000000006</v>
      </c>
      <c r="AS30" s="30" t="s">
        <v>76</v>
      </c>
      <c r="AT30" s="30"/>
      <c r="AU30" s="30" t="s">
        <v>56</v>
      </c>
      <c r="AV30" s="30">
        <v>20</v>
      </c>
      <c r="AW30" s="30" t="s">
        <v>57</v>
      </c>
      <c r="AX30" s="30" t="s">
        <v>58</v>
      </c>
      <c r="AY30" s="30">
        <v>26</v>
      </c>
      <c r="AZ30" s="30">
        <v>1</v>
      </c>
      <c r="BA30" s="30" t="s">
        <v>59</v>
      </c>
      <c r="BB30" s="30">
        <v>11.9</v>
      </c>
      <c r="BC30" s="30">
        <v>100</v>
      </c>
      <c r="BD30" s="30"/>
      <c r="BE30" s="30"/>
      <c r="BF30" s="30">
        <v>180</v>
      </c>
      <c r="BG30" s="30">
        <f t="shared" si="20"/>
        <v>2160</v>
      </c>
      <c r="BH30" s="30">
        <v>270</v>
      </c>
      <c r="BI30" s="30">
        <v>380</v>
      </c>
      <c r="BJ30" s="30">
        <f t="shared" si="21"/>
        <v>788400</v>
      </c>
      <c r="BK30" s="30">
        <v>8</v>
      </c>
      <c r="BL30" s="30">
        <v>8</v>
      </c>
      <c r="BM30" s="30">
        <v>4.4000000000000004</v>
      </c>
      <c r="BN30" s="30">
        <v>11.7</v>
      </c>
      <c r="BO30" s="35">
        <f t="shared" si="22"/>
        <v>6.8</v>
      </c>
      <c r="BP30" s="32">
        <f t="shared" si="23"/>
        <v>1.0740000000000001</v>
      </c>
      <c r="BQ30" s="30" t="s">
        <v>27</v>
      </c>
      <c r="BR30" s="30" t="s">
        <v>38</v>
      </c>
      <c r="BS30" s="30" t="s">
        <v>40</v>
      </c>
      <c r="BT30" s="30" t="s">
        <v>40</v>
      </c>
      <c r="BU30" s="30" t="s">
        <v>40</v>
      </c>
      <c r="BV30" s="30"/>
      <c r="BW30" s="30" t="s">
        <v>117</v>
      </c>
      <c r="BX30" s="30"/>
      <c r="BY30" s="30"/>
      <c r="BZ30" s="30"/>
      <c r="CA30" s="30" t="s">
        <v>116</v>
      </c>
      <c r="CB30" s="30"/>
      <c r="CC30" s="30"/>
    </row>
    <row r="31" spans="1:81" ht="45">
      <c r="A31" s="58" t="s">
        <v>34</v>
      </c>
      <c r="B31" s="58" t="s">
        <v>207</v>
      </c>
      <c r="C31" s="29" t="s">
        <v>244</v>
      </c>
      <c r="D31" s="30">
        <v>120</v>
      </c>
      <c r="E31" s="31">
        <f t="shared" si="0"/>
        <v>2128663.2599999998</v>
      </c>
      <c r="F31" s="32">
        <f t="shared" si="1"/>
        <v>1.5798846929711761</v>
      </c>
      <c r="G31" s="33">
        <f t="shared" si="2"/>
        <v>51.678306728800493</v>
      </c>
      <c r="H31" s="34">
        <f t="shared" si="3"/>
        <v>0.15823939627508063</v>
      </c>
      <c r="I31" s="35">
        <f t="shared" si="4"/>
        <v>2.5</v>
      </c>
      <c r="J31" s="36">
        <f t="shared" si="5"/>
        <v>51.678306728800493</v>
      </c>
      <c r="K31" s="32">
        <f t="shared" si="6"/>
        <v>1.5798846929711761</v>
      </c>
      <c r="L31" s="34">
        <f t="shared" si="7"/>
        <v>0.14521816727599937</v>
      </c>
      <c r="M31" s="32">
        <f t="shared" si="8"/>
        <v>1.7215476871075912</v>
      </c>
      <c r="N31" s="31">
        <v>2128663.2599999998</v>
      </c>
      <c r="O31" s="31">
        <f>N31*0.93</f>
        <v>1979656.8317999998</v>
      </c>
      <c r="P31" s="31">
        <f t="shared" si="9"/>
        <v>354127.56321300002</v>
      </c>
      <c r="Q31" s="37">
        <f t="shared" si="10"/>
        <v>2054160.0458999998</v>
      </c>
      <c r="R31" s="31">
        <f t="shared" si="11"/>
        <v>369748.80826199998</v>
      </c>
      <c r="S31" s="31">
        <f t="shared" si="12"/>
        <v>105120</v>
      </c>
      <c r="T31" s="38">
        <v>7.0000000000000007E-2</v>
      </c>
      <c r="U31" s="31">
        <f t="shared" si="13"/>
        <v>143791.203213</v>
      </c>
      <c r="V31" s="30"/>
      <c r="W31" s="30">
        <v>5</v>
      </c>
      <c r="X31" s="30"/>
      <c r="Y31" s="30">
        <v>16</v>
      </c>
      <c r="Z31" s="30"/>
      <c r="AA31" s="30">
        <v>3.1</v>
      </c>
      <c r="AB31" s="31">
        <f t="shared" si="14"/>
        <v>131400</v>
      </c>
      <c r="AC31" s="31">
        <f t="shared" si="15"/>
        <v>0</v>
      </c>
      <c r="AD31" s="31">
        <f t="shared" si="16"/>
        <v>1541.76</v>
      </c>
      <c r="AE31" s="31">
        <f t="shared" si="17"/>
        <v>77394.600000000006</v>
      </c>
      <c r="AF31" s="30">
        <f t="shared" si="18"/>
        <v>13578</v>
      </c>
      <c r="AG31" s="31">
        <f t="shared" si="19"/>
        <v>77394.600000000006</v>
      </c>
      <c r="AH31" s="30"/>
      <c r="AI31" s="30">
        <v>5.7</v>
      </c>
      <c r="AJ31" s="30">
        <v>2.1999999999999999E-2</v>
      </c>
      <c r="AK31" s="30"/>
      <c r="AL31" s="30">
        <v>6</v>
      </c>
      <c r="AM31" s="30"/>
      <c r="AN31" s="30" t="s">
        <v>162</v>
      </c>
      <c r="AO31" s="30">
        <v>13.38208</v>
      </c>
      <c r="AP31" s="30">
        <v>1265</v>
      </c>
      <c r="AQ31" s="30"/>
      <c r="AR31" s="30">
        <v>80</v>
      </c>
      <c r="AS31" s="30"/>
      <c r="AT31" s="30"/>
      <c r="AU31" s="30" t="s">
        <v>221</v>
      </c>
      <c r="AV31" s="30">
        <v>16</v>
      </c>
      <c r="AW31" s="30" t="s">
        <v>26</v>
      </c>
      <c r="AX31" s="30" t="s">
        <v>26</v>
      </c>
      <c r="AY31" s="30"/>
      <c r="AZ31" s="30">
        <v>1</v>
      </c>
      <c r="BA31" s="30" t="s">
        <v>16</v>
      </c>
      <c r="BB31" s="30">
        <v>9</v>
      </c>
      <c r="BC31" s="30">
        <v>100</v>
      </c>
      <c r="BD31" s="30"/>
      <c r="BE31" s="30"/>
      <c r="BF31" s="30">
        <v>120</v>
      </c>
      <c r="BG31" s="30">
        <f t="shared" si="20"/>
        <v>1440</v>
      </c>
      <c r="BH31" s="30"/>
      <c r="BI31" s="30"/>
      <c r="BJ31" s="30">
        <f t="shared" si="21"/>
        <v>525600</v>
      </c>
      <c r="BK31" s="30">
        <v>10</v>
      </c>
      <c r="BL31" s="30">
        <v>9</v>
      </c>
      <c r="BM31" s="30">
        <v>4.8</v>
      </c>
      <c r="BN31" s="30">
        <v>9</v>
      </c>
      <c r="BO31" s="35">
        <f t="shared" si="22"/>
        <v>7.9333333333333336</v>
      </c>
      <c r="BP31" s="32">
        <f t="shared" si="23"/>
        <v>1.0896666666666666</v>
      </c>
      <c r="BQ31" s="30" t="s">
        <v>27</v>
      </c>
      <c r="BR31" s="30" t="s">
        <v>171</v>
      </c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</row>
    <row r="32" spans="1:81" ht="45">
      <c r="A32" s="29" t="s">
        <v>362</v>
      </c>
      <c r="B32" s="29" t="s">
        <v>357</v>
      </c>
      <c r="C32" s="29" t="s">
        <v>223</v>
      </c>
      <c r="D32" s="29">
        <v>180</v>
      </c>
      <c r="E32" s="31">
        <f t="shared" si="0"/>
        <v>1020000</v>
      </c>
      <c r="F32" s="32">
        <f t="shared" si="1"/>
        <v>1.5802477402787343</v>
      </c>
      <c r="G32" s="33">
        <f t="shared" si="2"/>
        <v>16.686256608788604</v>
      </c>
      <c r="H32" s="34">
        <f t="shared" si="3"/>
        <v>0.15820304223684786</v>
      </c>
      <c r="I32" s="35">
        <f t="shared" si="4"/>
        <v>2.5</v>
      </c>
      <c r="J32" s="36">
        <f t="shared" si="5"/>
        <v>16.686256608788604</v>
      </c>
      <c r="K32" s="32">
        <f t="shared" si="6"/>
        <v>1.5802477402787343</v>
      </c>
      <c r="L32" s="34">
        <f t="shared" si="7"/>
        <v>0.1473026464030241</v>
      </c>
      <c r="M32" s="32">
        <f t="shared" si="8"/>
        <v>1.6971860730593606</v>
      </c>
      <c r="N32" s="31">
        <v>1020000</v>
      </c>
      <c r="O32" s="30">
        <f>N32*0.95</f>
        <v>969000</v>
      </c>
      <c r="P32" s="31">
        <f t="shared" si="9"/>
        <v>891439.2</v>
      </c>
      <c r="Q32" s="39">
        <f t="shared" si="10"/>
        <v>994500</v>
      </c>
      <c r="R32" s="30">
        <f t="shared" si="11"/>
        <v>179010</v>
      </c>
      <c r="S32" s="31">
        <f t="shared" si="12"/>
        <v>157680</v>
      </c>
      <c r="T32" s="38">
        <v>0.09</v>
      </c>
      <c r="U32" s="31">
        <f t="shared" si="13"/>
        <v>89505</v>
      </c>
      <c r="V32" s="30"/>
      <c r="W32" s="30"/>
      <c r="X32" s="30">
        <v>5</v>
      </c>
      <c r="Y32" s="30">
        <v>25</v>
      </c>
      <c r="Z32" s="30"/>
      <c r="AA32" s="30">
        <v>2.2000000000000002</v>
      </c>
      <c r="AB32" s="31">
        <f t="shared" si="14"/>
        <v>0</v>
      </c>
      <c r="AC32" s="31">
        <f t="shared" si="15"/>
        <v>744600</v>
      </c>
      <c r="AD32" s="31">
        <f t="shared" si="16"/>
        <v>2409</v>
      </c>
      <c r="AE32" s="31">
        <f t="shared" si="17"/>
        <v>54925.200000000012</v>
      </c>
      <c r="AF32" s="30">
        <f t="shared" si="18"/>
        <v>9636.0000000000018</v>
      </c>
      <c r="AG32" s="31">
        <f t="shared" si="19"/>
        <v>54925.200000000012</v>
      </c>
      <c r="AH32" s="30"/>
      <c r="AI32" s="30">
        <v>5.7</v>
      </c>
      <c r="AJ32" s="30">
        <v>2.1999999999999999E-2</v>
      </c>
      <c r="AK32" s="30">
        <v>34</v>
      </c>
      <c r="AL32" s="30"/>
      <c r="AM32" s="30"/>
      <c r="AN32" s="30" t="s">
        <v>360</v>
      </c>
      <c r="AO32" s="30">
        <v>14.25</v>
      </c>
      <c r="AP32" s="30">
        <v>1800</v>
      </c>
      <c r="AQ32" s="30"/>
      <c r="AR32" s="30">
        <v>78.900000000000006</v>
      </c>
      <c r="AS32" s="30"/>
      <c r="AT32" s="30"/>
      <c r="AU32" s="30" t="s">
        <v>56</v>
      </c>
      <c r="AV32" s="30">
        <v>20</v>
      </c>
      <c r="AW32" s="30"/>
      <c r="AX32" s="30"/>
      <c r="AY32" s="30"/>
      <c r="AZ32" s="30">
        <v>1</v>
      </c>
      <c r="BA32" s="30" t="s">
        <v>59</v>
      </c>
      <c r="BB32" s="30">
        <v>11</v>
      </c>
      <c r="BC32" s="30"/>
      <c r="BD32" s="30"/>
      <c r="BE32" s="30"/>
      <c r="BF32" s="30">
        <v>180</v>
      </c>
      <c r="BG32" s="30">
        <f t="shared" si="20"/>
        <v>2160</v>
      </c>
      <c r="BH32" s="30">
        <v>270</v>
      </c>
      <c r="BI32" s="30">
        <v>452</v>
      </c>
      <c r="BJ32" s="30">
        <f t="shared" si="21"/>
        <v>788400</v>
      </c>
      <c r="BK32" s="30">
        <v>8</v>
      </c>
      <c r="BL32" s="30">
        <v>8</v>
      </c>
      <c r="BM32" s="30">
        <v>4.4000000000000004</v>
      </c>
      <c r="BN32" s="30">
        <v>11.7</v>
      </c>
      <c r="BO32" s="35">
        <f t="shared" si="22"/>
        <v>6.8</v>
      </c>
      <c r="BP32" s="32">
        <f t="shared" si="23"/>
        <v>1.0740000000000001</v>
      </c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</row>
    <row r="33" spans="1:81" ht="45">
      <c r="A33" s="58" t="s">
        <v>20</v>
      </c>
      <c r="B33" s="58" t="s">
        <v>297</v>
      </c>
      <c r="C33" s="29" t="s">
        <v>223</v>
      </c>
      <c r="D33" s="30">
        <v>150</v>
      </c>
      <c r="E33" s="31">
        <f t="shared" si="0"/>
        <v>840000</v>
      </c>
      <c r="F33" s="32">
        <f t="shared" si="1"/>
        <v>1.6955910988665253</v>
      </c>
      <c r="G33" s="33">
        <f t="shared" si="2"/>
        <v>18.370977443132141</v>
      </c>
      <c r="H33" s="34">
        <f t="shared" si="3"/>
        <v>0.14744120806432687</v>
      </c>
      <c r="I33" s="35">
        <f t="shared" si="4"/>
        <v>2.5</v>
      </c>
      <c r="J33" s="36">
        <f t="shared" si="5"/>
        <v>18.370977443132141</v>
      </c>
      <c r="K33" s="32">
        <f t="shared" si="6"/>
        <v>1.6955910988665253</v>
      </c>
      <c r="L33" s="34">
        <f t="shared" si="7"/>
        <v>0.13728231663345147</v>
      </c>
      <c r="M33" s="32">
        <f t="shared" si="8"/>
        <v>1.8210648401826484</v>
      </c>
      <c r="N33" s="31">
        <v>840000</v>
      </c>
      <c r="O33" s="31">
        <f>N33*0.9</f>
        <v>756000</v>
      </c>
      <c r="P33" s="31">
        <f t="shared" si="9"/>
        <v>813511.67999999993</v>
      </c>
      <c r="Q33" s="37">
        <f t="shared" si="10"/>
        <v>798000</v>
      </c>
      <c r="R33" s="31">
        <f t="shared" si="11"/>
        <v>143640</v>
      </c>
      <c r="S33" s="31">
        <f t="shared" si="12"/>
        <v>131400</v>
      </c>
      <c r="T33" s="38">
        <v>0.09</v>
      </c>
      <c r="U33" s="31">
        <f t="shared" si="13"/>
        <v>71820</v>
      </c>
      <c r="V33" s="30"/>
      <c r="W33" s="30"/>
      <c r="X33" s="30">
        <v>4.5999999999999996</v>
      </c>
      <c r="Y33" s="30">
        <v>18</v>
      </c>
      <c r="Z33" s="30"/>
      <c r="AA33" s="30">
        <v>2.2000000000000002</v>
      </c>
      <c r="AB33" s="31">
        <f t="shared" si="14"/>
        <v>0</v>
      </c>
      <c r="AC33" s="31">
        <f t="shared" si="15"/>
        <v>685031.99999999988</v>
      </c>
      <c r="AD33" s="31">
        <f t="shared" si="16"/>
        <v>1734.4799999999998</v>
      </c>
      <c r="AE33" s="31">
        <f t="shared" si="17"/>
        <v>54925.200000000012</v>
      </c>
      <c r="AF33" s="30">
        <f t="shared" si="18"/>
        <v>9636.0000000000018</v>
      </c>
      <c r="AG33" s="31">
        <f t="shared" si="19"/>
        <v>54925.200000000012</v>
      </c>
      <c r="AH33" s="30"/>
      <c r="AI33" s="30">
        <v>5.7</v>
      </c>
      <c r="AJ33" s="30">
        <v>2.1999999999999999E-2</v>
      </c>
      <c r="AK33" s="30">
        <v>34</v>
      </c>
      <c r="AL33" s="30"/>
      <c r="AM33" s="30"/>
      <c r="AN33" s="30" t="s">
        <v>159</v>
      </c>
      <c r="AO33" s="30">
        <v>11.559948</v>
      </c>
      <c r="AP33" s="30">
        <v>1600</v>
      </c>
      <c r="AQ33" s="30"/>
      <c r="AR33" s="30">
        <v>69.3</v>
      </c>
      <c r="AS33" s="30" t="s">
        <v>76</v>
      </c>
      <c r="AT33" s="30"/>
      <c r="AU33" s="30" t="s">
        <v>56</v>
      </c>
      <c r="AV33" s="30">
        <v>17</v>
      </c>
      <c r="AW33" s="30" t="s">
        <v>10</v>
      </c>
      <c r="AX33" s="30" t="s">
        <v>181</v>
      </c>
      <c r="AY33" s="30">
        <v>28</v>
      </c>
      <c r="AZ33" s="30">
        <v>1</v>
      </c>
      <c r="BA33" s="30" t="s">
        <v>64</v>
      </c>
      <c r="BB33" s="30">
        <v>8.6999999999999993</v>
      </c>
      <c r="BC33" s="30">
        <v>100</v>
      </c>
      <c r="BD33" s="30"/>
      <c r="BE33" s="30"/>
      <c r="BF33" s="30">
        <v>150</v>
      </c>
      <c r="BG33" s="30">
        <f t="shared" si="20"/>
        <v>1800</v>
      </c>
      <c r="BH33" s="30">
        <v>216</v>
      </c>
      <c r="BI33" s="30">
        <v>380</v>
      </c>
      <c r="BJ33" s="30">
        <f t="shared" si="21"/>
        <v>657000</v>
      </c>
      <c r="BK33" s="30">
        <v>8</v>
      </c>
      <c r="BL33" s="30">
        <v>8</v>
      </c>
      <c r="BM33" s="30">
        <v>4.4000000000000004</v>
      </c>
      <c r="BN33" s="30">
        <v>11.7</v>
      </c>
      <c r="BO33" s="35">
        <f t="shared" si="22"/>
        <v>6.8</v>
      </c>
      <c r="BP33" s="32">
        <f t="shared" si="23"/>
        <v>1.0740000000000001</v>
      </c>
      <c r="BQ33" s="30" t="s">
        <v>27</v>
      </c>
      <c r="BR33" s="30" t="s">
        <v>38</v>
      </c>
      <c r="BS33" s="30" t="s">
        <v>40</v>
      </c>
      <c r="BT33" s="30" t="s">
        <v>40</v>
      </c>
      <c r="BU33" s="30" t="s">
        <v>40</v>
      </c>
      <c r="BV33" s="30"/>
      <c r="BW33" s="30" t="s">
        <v>117</v>
      </c>
      <c r="BX33" s="30"/>
      <c r="BY33" s="30"/>
      <c r="BZ33" s="30"/>
      <c r="CA33" s="30" t="s">
        <v>116</v>
      </c>
      <c r="CB33" s="30"/>
      <c r="CC33" s="30"/>
    </row>
    <row r="34" spans="1:81" ht="45">
      <c r="A34" s="29" t="s">
        <v>362</v>
      </c>
      <c r="B34" s="29" t="s">
        <v>355</v>
      </c>
      <c r="C34" s="29" t="s">
        <v>223</v>
      </c>
      <c r="D34" s="29">
        <v>150</v>
      </c>
      <c r="E34" s="31">
        <f t="shared" si="0"/>
        <v>900000</v>
      </c>
      <c r="F34" s="32">
        <f t="shared" si="1"/>
        <v>1.7336162767956598</v>
      </c>
      <c r="G34" s="33">
        <f t="shared" si="2"/>
        <v>21.203477459120407</v>
      </c>
      <c r="H34" s="34">
        <f t="shared" si="3"/>
        <v>0.14420722933110031</v>
      </c>
      <c r="I34" s="35">
        <f t="shared" si="4"/>
        <v>2.5</v>
      </c>
      <c r="J34" s="36">
        <f t="shared" si="5"/>
        <v>21.203477459120407</v>
      </c>
      <c r="K34" s="32">
        <f t="shared" si="6"/>
        <v>1.7336162767956598</v>
      </c>
      <c r="L34" s="34">
        <f t="shared" si="7"/>
        <v>0.13427116325055896</v>
      </c>
      <c r="M34" s="32">
        <f t="shared" si="8"/>
        <v>1.8619038812785387</v>
      </c>
      <c r="N34" s="31">
        <v>900000</v>
      </c>
      <c r="O34" s="30">
        <f>N34*0.95</f>
        <v>855000</v>
      </c>
      <c r="P34" s="31">
        <f t="shared" si="9"/>
        <v>820666.67999999993</v>
      </c>
      <c r="Q34" s="39">
        <f t="shared" si="10"/>
        <v>877500</v>
      </c>
      <c r="R34" s="30">
        <f t="shared" si="11"/>
        <v>157950</v>
      </c>
      <c r="S34" s="31">
        <f t="shared" si="12"/>
        <v>131400</v>
      </c>
      <c r="T34" s="38">
        <v>0.09</v>
      </c>
      <c r="U34" s="31">
        <f t="shared" si="13"/>
        <v>78975</v>
      </c>
      <c r="V34" s="30"/>
      <c r="W34" s="30"/>
      <c r="X34" s="30">
        <v>4.5999999999999996</v>
      </c>
      <c r="Y34" s="30">
        <v>18</v>
      </c>
      <c r="Z34" s="30"/>
      <c r="AA34" s="30">
        <v>2.2000000000000002</v>
      </c>
      <c r="AB34" s="31">
        <f t="shared" si="14"/>
        <v>0</v>
      </c>
      <c r="AC34" s="31">
        <f t="shared" si="15"/>
        <v>685031.99999999988</v>
      </c>
      <c r="AD34" s="31">
        <f t="shared" si="16"/>
        <v>1734.4799999999998</v>
      </c>
      <c r="AE34" s="31">
        <f t="shared" si="17"/>
        <v>54925.200000000012</v>
      </c>
      <c r="AF34" s="30">
        <f t="shared" si="18"/>
        <v>9636.0000000000018</v>
      </c>
      <c r="AG34" s="31">
        <f t="shared" si="19"/>
        <v>54925.200000000012</v>
      </c>
      <c r="AH34" s="30"/>
      <c r="AI34" s="30">
        <v>5.7</v>
      </c>
      <c r="AJ34" s="30">
        <v>2.1999999999999999E-2</v>
      </c>
      <c r="AK34" s="30">
        <v>34</v>
      </c>
      <c r="AL34" s="30"/>
      <c r="AM34" s="30"/>
      <c r="AN34" s="30" t="s">
        <v>359</v>
      </c>
      <c r="AO34" s="30">
        <v>11.9</v>
      </c>
      <c r="AP34" s="30">
        <v>1500</v>
      </c>
      <c r="AQ34" s="30"/>
      <c r="AR34" s="30">
        <v>69.3</v>
      </c>
      <c r="AS34" s="30"/>
      <c r="AT34" s="30"/>
      <c r="AU34" s="30" t="s">
        <v>56</v>
      </c>
      <c r="AV34" s="30">
        <v>17</v>
      </c>
      <c r="AW34" s="30"/>
      <c r="AX34" s="30"/>
      <c r="AY34" s="30"/>
      <c r="AZ34" s="30">
        <v>1</v>
      </c>
      <c r="BA34" s="30" t="s">
        <v>64</v>
      </c>
      <c r="BB34" s="30">
        <v>8.6</v>
      </c>
      <c r="BC34" s="30"/>
      <c r="BD34" s="30"/>
      <c r="BE34" s="30"/>
      <c r="BF34" s="30">
        <v>150</v>
      </c>
      <c r="BG34" s="30">
        <f t="shared" si="20"/>
        <v>1800</v>
      </c>
      <c r="BH34" s="30">
        <v>216</v>
      </c>
      <c r="BI34" s="30">
        <v>380</v>
      </c>
      <c r="BJ34" s="30">
        <f t="shared" si="21"/>
        <v>657000</v>
      </c>
      <c r="BK34" s="30">
        <v>8</v>
      </c>
      <c r="BL34" s="30">
        <v>8</v>
      </c>
      <c r="BM34" s="30">
        <v>4.4000000000000004</v>
      </c>
      <c r="BN34" s="30">
        <v>11.7</v>
      </c>
      <c r="BO34" s="35">
        <f t="shared" si="22"/>
        <v>6.8</v>
      </c>
      <c r="BP34" s="32">
        <f t="shared" si="23"/>
        <v>1.0740000000000001</v>
      </c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</row>
    <row r="35" spans="1:81" ht="45">
      <c r="A35" s="58" t="s">
        <v>20</v>
      </c>
      <c r="B35" s="58" t="s">
        <v>291</v>
      </c>
      <c r="C35" s="29" t="s">
        <v>245</v>
      </c>
      <c r="D35" s="30">
        <v>180</v>
      </c>
      <c r="E35" s="31">
        <f t="shared" ref="E35:E66" si="24">N35</f>
        <v>890000</v>
      </c>
      <c r="F35" s="32">
        <f t="shared" ref="F35:F66" si="25">(P35+R35)/(0.8*BP35*S35/0.2)</f>
        <v>1.7945302026025416</v>
      </c>
      <c r="G35" s="33">
        <f t="shared" ref="G35:G66" si="26">IF(I35-K35&gt;0,Q35/(30*(I35-K35)*BG35),100-Q35/(30*(I35-K35)*BG35))</f>
        <v>18.495248916831727</v>
      </c>
      <c r="H35" s="34">
        <f t="shared" ref="H35:H66" si="27">S35*BP35/(P35+R35)</f>
        <v>0.13931222758883308</v>
      </c>
      <c r="I35" s="35">
        <f t="shared" ref="I35:I66" si="28">$I$2</f>
        <v>2.5</v>
      </c>
      <c r="J35" s="36">
        <f t="shared" ref="J35:J57" si="29">IF(I35-K35&gt;0,Q35/(30*(I35-K35)*BG35),100-Q35/(30*(I35-K35)*BG35))</f>
        <v>18.495248916831727</v>
      </c>
      <c r="K35" s="32">
        <f t="shared" ref="K35:K66" si="30">(P35+R35)/(0.8*BP35*S35/0.2)</f>
        <v>1.7945302026025416</v>
      </c>
      <c r="L35" s="34">
        <f t="shared" ref="L35:L66" si="31">S35/(P35+R35)</f>
        <v>0.12971343350915557</v>
      </c>
      <c r="M35" s="32">
        <f t="shared" ref="M35:M66" si="32">(P35+R35)/(0.8*S35/0.2)</f>
        <v>1.9273254375951296</v>
      </c>
      <c r="N35" s="31">
        <v>890000</v>
      </c>
      <c r="O35" s="31">
        <f>N35*0.9</f>
        <v>801000</v>
      </c>
      <c r="P35" s="31">
        <f t="shared" ref="P35:P66" si="33">AB35+AC35+AE35+U35+AD35</f>
        <v>1063412.7000000002</v>
      </c>
      <c r="Q35" s="37">
        <f t="shared" ref="Q35:Q66" si="34">(N35+O35)/2</f>
        <v>845500</v>
      </c>
      <c r="R35" s="31">
        <f t="shared" ref="R35:R66" si="35">Q35*18%</f>
        <v>152190</v>
      </c>
      <c r="S35" s="31">
        <f t="shared" ref="S35:S66" si="36">BF35*365*12*0.2</f>
        <v>157680</v>
      </c>
      <c r="T35" s="38">
        <v>0.09</v>
      </c>
      <c r="U35" s="31">
        <f t="shared" ref="U35:U66" si="37">Q35*T35</f>
        <v>76095</v>
      </c>
      <c r="V35" s="30"/>
      <c r="W35" s="30"/>
      <c r="X35" s="30"/>
      <c r="Y35" s="30">
        <v>25</v>
      </c>
      <c r="Z35" s="30">
        <f>AA35/2</f>
        <v>39.450000000000003</v>
      </c>
      <c r="AA35" s="30">
        <v>78.900000000000006</v>
      </c>
      <c r="AB35" s="31">
        <f t="shared" ref="AB35:AB66" si="38">W35*365*12*AL35</f>
        <v>0</v>
      </c>
      <c r="AC35" s="31">
        <f t="shared" ref="AC35:AC66" si="39">X35*365*12*AK35</f>
        <v>0</v>
      </c>
      <c r="AD35" s="31">
        <f t="shared" ref="AD35:AD66" si="40">Y35*365*12*AJ35</f>
        <v>2409</v>
      </c>
      <c r="AE35" s="31">
        <f>Z35*365*12*AI35</f>
        <v>984908.70000000019</v>
      </c>
      <c r="AF35" s="30">
        <f t="shared" ref="AF35:AF66" si="41">AA35*365*12</f>
        <v>345582.00000000006</v>
      </c>
      <c r="AG35" s="31">
        <f t="shared" ref="AG35:AG66" si="42">AF35*AI35</f>
        <v>1969817.4000000004</v>
      </c>
      <c r="AH35" s="30"/>
      <c r="AI35" s="30">
        <v>5.7</v>
      </c>
      <c r="AJ35" s="30">
        <v>2.1999999999999999E-2</v>
      </c>
      <c r="AK35" s="30"/>
      <c r="AL35" s="30"/>
      <c r="AM35" s="30"/>
      <c r="AN35" s="29" t="s">
        <v>358</v>
      </c>
      <c r="AO35" s="30">
        <v>13.021483249999999</v>
      </c>
      <c r="AP35" s="30">
        <v>1850</v>
      </c>
      <c r="AQ35" s="30"/>
      <c r="AR35" s="30">
        <v>78.900000000000006</v>
      </c>
      <c r="AS35" s="30"/>
      <c r="AT35" s="30" t="s">
        <v>63</v>
      </c>
      <c r="AU35" s="30" t="s">
        <v>56</v>
      </c>
      <c r="AV35" s="30">
        <v>20</v>
      </c>
      <c r="AW35" s="30" t="s">
        <v>57</v>
      </c>
      <c r="AX35" s="30" t="s">
        <v>58</v>
      </c>
      <c r="AY35" s="30">
        <v>26</v>
      </c>
      <c r="AZ35" s="30">
        <v>1</v>
      </c>
      <c r="BA35" s="30" t="s">
        <v>59</v>
      </c>
      <c r="BB35" s="30">
        <v>11.9</v>
      </c>
      <c r="BC35" s="30">
        <v>100</v>
      </c>
      <c r="BD35" s="30"/>
      <c r="BE35" s="30"/>
      <c r="BF35" s="30">
        <v>180</v>
      </c>
      <c r="BG35" s="30">
        <f t="shared" ref="BG35:BG66" si="43">BF35*12</f>
        <v>2160</v>
      </c>
      <c r="BH35" s="30">
        <v>270</v>
      </c>
      <c r="BI35" s="30">
        <v>452</v>
      </c>
      <c r="BJ35" s="30">
        <f t="shared" ref="BJ35:BJ66" si="44">BG35*365</f>
        <v>788400</v>
      </c>
      <c r="BK35" s="30">
        <v>8</v>
      </c>
      <c r="BL35" s="30">
        <v>8</v>
      </c>
      <c r="BM35" s="30">
        <v>4.4000000000000004</v>
      </c>
      <c r="BN35" s="30">
        <v>11.7</v>
      </c>
      <c r="BO35" s="35">
        <f t="shared" ref="BO35:BO66" si="45">(BM35+BL35+BK35)/3</f>
        <v>6.8</v>
      </c>
      <c r="BP35" s="32">
        <f t="shared" ref="BP35:BP66" si="46">1+(BO35+BK35)/200</f>
        <v>1.0740000000000001</v>
      </c>
      <c r="BQ35" s="30" t="s">
        <v>27</v>
      </c>
      <c r="BR35" s="30" t="s">
        <v>38</v>
      </c>
      <c r="BS35" s="30" t="s">
        <v>40</v>
      </c>
      <c r="BT35" s="30" t="s">
        <v>40</v>
      </c>
      <c r="BU35" s="30" t="s">
        <v>40</v>
      </c>
      <c r="BV35" s="30"/>
      <c r="BW35" s="30" t="s">
        <v>117</v>
      </c>
      <c r="BX35" s="30"/>
      <c r="BY35" s="30"/>
      <c r="BZ35" s="30"/>
      <c r="CA35" s="30" t="s">
        <v>116</v>
      </c>
      <c r="CB35" s="30"/>
      <c r="CC35" s="30"/>
    </row>
    <row r="36" spans="1:81" ht="45">
      <c r="A36" s="58" t="s">
        <v>21</v>
      </c>
      <c r="B36" s="58" t="s">
        <v>314</v>
      </c>
      <c r="C36" s="29" t="s">
        <v>223</v>
      </c>
      <c r="D36" s="30">
        <v>135</v>
      </c>
      <c r="E36" s="31">
        <f t="shared" si="24"/>
        <v>750000</v>
      </c>
      <c r="F36" s="32">
        <f t="shared" si="25"/>
        <v>1.8818624476572532</v>
      </c>
      <c r="G36" s="33">
        <f t="shared" si="26"/>
        <v>23.717203026409077</v>
      </c>
      <c r="H36" s="34">
        <f t="shared" si="27"/>
        <v>0.13284711659517259</v>
      </c>
      <c r="I36" s="35">
        <f t="shared" si="28"/>
        <v>2.5</v>
      </c>
      <c r="J36" s="36">
        <f t="shared" si="29"/>
        <v>23.717203026409077</v>
      </c>
      <c r="K36" s="32">
        <f t="shared" si="30"/>
        <v>1.8818624476572532</v>
      </c>
      <c r="L36" s="34">
        <f t="shared" si="31"/>
        <v>0.1247586006528464</v>
      </c>
      <c r="M36" s="32">
        <f t="shared" si="32"/>
        <v>2.0038698630136982</v>
      </c>
      <c r="N36" s="31">
        <v>750000</v>
      </c>
      <c r="O36" s="31">
        <f>N36*0.9</f>
        <v>675000</v>
      </c>
      <c r="P36" s="31">
        <f t="shared" si="33"/>
        <v>819660.59999999986</v>
      </c>
      <c r="Q36" s="37">
        <f t="shared" si="34"/>
        <v>712500</v>
      </c>
      <c r="R36" s="31">
        <f t="shared" si="35"/>
        <v>128250</v>
      </c>
      <c r="S36" s="31">
        <f t="shared" si="36"/>
        <v>118260</v>
      </c>
      <c r="T36" s="38">
        <v>0.1</v>
      </c>
      <c r="U36" s="31">
        <f t="shared" si="37"/>
        <v>71250</v>
      </c>
      <c r="V36" s="30"/>
      <c r="W36" s="30"/>
      <c r="X36" s="30">
        <v>4.5999999999999996</v>
      </c>
      <c r="Y36" s="30">
        <v>10</v>
      </c>
      <c r="Z36" s="30"/>
      <c r="AA36" s="30">
        <v>2.5</v>
      </c>
      <c r="AB36" s="31">
        <f t="shared" si="38"/>
        <v>0</v>
      </c>
      <c r="AC36" s="31">
        <f t="shared" si="39"/>
        <v>685031.99999999988</v>
      </c>
      <c r="AD36" s="31">
        <f t="shared" si="40"/>
        <v>963.59999999999991</v>
      </c>
      <c r="AE36" s="31">
        <f>AA36*365*12*AI36</f>
        <v>62415</v>
      </c>
      <c r="AF36" s="30">
        <f t="shared" si="41"/>
        <v>10950</v>
      </c>
      <c r="AG36" s="31">
        <f t="shared" si="42"/>
        <v>62415</v>
      </c>
      <c r="AH36" s="30"/>
      <c r="AI36" s="30">
        <v>5.7</v>
      </c>
      <c r="AJ36" s="30">
        <v>2.1999999999999999E-2</v>
      </c>
      <c r="AK36" s="30">
        <v>34</v>
      </c>
      <c r="AL36" s="30"/>
      <c r="AM36" s="30"/>
      <c r="AN36" s="30" t="s">
        <v>316</v>
      </c>
      <c r="AO36" s="30">
        <v>7.1821890000000002</v>
      </c>
      <c r="AP36" s="30">
        <v>1285</v>
      </c>
      <c r="AQ36" s="30"/>
      <c r="AR36" s="30"/>
      <c r="AS36" s="30" t="s">
        <v>22</v>
      </c>
      <c r="AT36" s="30"/>
      <c r="AU36" s="30" t="s">
        <v>221</v>
      </c>
      <c r="AV36" s="30"/>
      <c r="AW36" s="42" t="s">
        <v>318</v>
      </c>
      <c r="AX36" s="30"/>
      <c r="AY36" s="30">
        <v>20</v>
      </c>
      <c r="AZ36" s="30"/>
      <c r="BA36" s="30" t="s">
        <v>319</v>
      </c>
      <c r="BB36" s="30">
        <v>7.1</v>
      </c>
      <c r="BC36" s="30"/>
      <c r="BD36" s="30"/>
      <c r="BE36" s="30"/>
      <c r="BF36" s="30">
        <v>135</v>
      </c>
      <c r="BG36" s="30">
        <f t="shared" si="43"/>
        <v>1620</v>
      </c>
      <c r="BH36" s="30">
        <v>144</v>
      </c>
      <c r="BI36" s="30">
        <v>288</v>
      </c>
      <c r="BJ36" s="30">
        <f t="shared" si="44"/>
        <v>591300</v>
      </c>
      <c r="BK36" s="30">
        <v>7</v>
      </c>
      <c r="BL36" s="30">
        <v>7</v>
      </c>
      <c r="BM36" s="30">
        <v>3.9</v>
      </c>
      <c r="BN36" s="30">
        <v>28.4</v>
      </c>
      <c r="BO36" s="35">
        <f t="shared" si="45"/>
        <v>5.9666666666666659</v>
      </c>
      <c r="BP36" s="32">
        <f t="shared" si="46"/>
        <v>1.0648333333333333</v>
      </c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</row>
    <row r="37" spans="1:81" ht="45">
      <c r="A37" s="58" t="s">
        <v>24</v>
      </c>
      <c r="B37" s="58" t="s">
        <v>81</v>
      </c>
      <c r="C37" s="29" t="s">
        <v>223</v>
      </c>
      <c r="D37" s="30">
        <v>180</v>
      </c>
      <c r="E37" s="31">
        <f t="shared" si="24"/>
        <v>1268250</v>
      </c>
      <c r="F37" s="32">
        <f t="shared" si="25"/>
        <v>1.8884306939604554</v>
      </c>
      <c r="G37" s="33">
        <f t="shared" si="26"/>
        <v>28.802268458179224</v>
      </c>
      <c r="H37" s="34">
        <f t="shared" si="27"/>
        <v>0.13238505432025938</v>
      </c>
      <c r="I37" s="35">
        <f t="shared" si="28"/>
        <v>2.5</v>
      </c>
      <c r="J37" s="36">
        <f t="shared" si="29"/>
        <v>28.802268458179224</v>
      </c>
      <c r="K37" s="32">
        <f t="shared" si="30"/>
        <v>1.8884306939604554</v>
      </c>
      <c r="L37" s="34">
        <f t="shared" si="31"/>
        <v>0.12328268289951207</v>
      </c>
      <c r="M37" s="32">
        <f t="shared" si="32"/>
        <v>2.0278598268645358</v>
      </c>
      <c r="N37" s="31">
        <v>1268250</v>
      </c>
      <c r="O37" s="31">
        <f>N37*0.8</f>
        <v>1014600</v>
      </c>
      <c r="P37" s="31">
        <f t="shared" si="33"/>
        <v>1073555.25</v>
      </c>
      <c r="Q37" s="37">
        <f t="shared" si="34"/>
        <v>1141425</v>
      </c>
      <c r="R37" s="31">
        <f t="shared" si="35"/>
        <v>205456.5</v>
      </c>
      <c r="S37" s="31">
        <f t="shared" si="36"/>
        <v>157680</v>
      </c>
      <c r="T37" s="38">
        <v>0.09</v>
      </c>
      <c r="U37" s="31">
        <f t="shared" si="37"/>
        <v>102728.25</v>
      </c>
      <c r="V37" s="30"/>
      <c r="W37" s="30"/>
      <c r="X37" s="30">
        <v>6</v>
      </c>
      <c r="Y37" s="30">
        <v>25</v>
      </c>
      <c r="Z37" s="30"/>
      <c r="AA37" s="30">
        <v>3</v>
      </c>
      <c r="AB37" s="31">
        <f t="shared" si="38"/>
        <v>0</v>
      </c>
      <c r="AC37" s="31">
        <f t="shared" si="39"/>
        <v>893520</v>
      </c>
      <c r="AD37" s="31">
        <f t="shared" si="40"/>
        <v>2409</v>
      </c>
      <c r="AE37" s="31">
        <f>AA37*365*12*AI37</f>
        <v>74898</v>
      </c>
      <c r="AF37" s="30">
        <f t="shared" si="41"/>
        <v>13140</v>
      </c>
      <c r="AG37" s="31">
        <f t="shared" si="42"/>
        <v>74898</v>
      </c>
      <c r="AH37" s="30"/>
      <c r="AI37" s="30">
        <v>5.7</v>
      </c>
      <c r="AJ37" s="30">
        <v>2.1999999999999999E-2</v>
      </c>
      <c r="AK37" s="30">
        <v>34</v>
      </c>
      <c r="AL37" s="30"/>
      <c r="AM37" s="30"/>
      <c r="AN37" s="30" t="s">
        <v>83</v>
      </c>
      <c r="AO37" s="30">
        <v>8.9911799999999999</v>
      </c>
      <c r="AP37" s="30">
        <v>1800</v>
      </c>
      <c r="AQ37" s="30"/>
      <c r="AR37" s="30" t="s">
        <v>84</v>
      </c>
      <c r="AS37" s="30"/>
      <c r="AT37" s="30"/>
      <c r="AU37" s="30" t="s">
        <v>46</v>
      </c>
      <c r="AV37" s="30"/>
      <c r="AW37" s="30"/>
      <c r="AX37" s="30"/>
      <c r="AY37" s="30"/>
      <c r="AZ37" s="30">
        <v>1</v>
      </c>
      <c r="BA37" s="30" t="s">
        <v>82</v>
      </c>
      <c r="BB37" s="30"/>
      <c r="BC37" s="30">
        <v>100</v>
      </c>
      <c r="BD37" s="30"/>
      <c r="BE37" s="30"/>
      <c r="BF37" s="30">
        <v>180</v>
      </c>
      <c r="BG37" s="30">
        <f t="shared" si="43"/>
        <v>2160</v>
      </c>
      <c r="BH37" s="30"/>
      <c r="BI37" s="30"/>
      <c r="BJ37" s="30">
        <f t="shared" si="44"/>
        <v>788400</v>
      </c>
      <c r="BK37" s="30">
        <v>8</v>
      </c>
      <c r="BL37" s="30">
        <v>8</v>
      </c>
      <c r="BM37" s="30">
        <v>4.3</v>
      </c>
      <c r="BN37" s="30">
        <v>6.3</v>
      </c>
      <c r="BO37" s="35">
        <f t="shared" si="45"/>
        <v>6.7666666666666666</v>
      </c>
      <c r="BP37" s="32">
        <f t="shared" si="46"/>
        <v>1.0738333333333334</v>
      </c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</row>
    <row r="38" spans="1:81" ht="45">
      <c r="A38" s="58" t="s">
        <v>20</v>
      </c>
      <c r="B38" s="58" t="s">
        <v>292</v>
      </c>
      <c r="C38" s="29" t="s">
        <v>245</v>
      </c>
      <c r="D38" s="30">
        <v>150</v>
      </c>
      <c r="E38" s="31">
        <f t="shared" si="24"/>
        <v>790000</v>
      </c>
      <c r="F38" s="32">
        <f t="shared" si="25"/>
        <v>1.894511938470957</v>
      </c>
      <c r="G38" s="33">
        <f t="shared" si="26"/>
        <v>22.953628702523154</v>
      </c>
      <c r="H38" s="34">
        <f t="shared" si="27"/>
        <v>0.13196010799582117</v>
      </c>
      <c r="I38" s="35">
        <f t="shared" si="28"/>
        <v>2.5</v>
      </c>
      <c r="J38" s="36">
        <f t="shared" si="29"/>
        <v>22.953628702523154</v>
      </c>
      <c r="K38" s="32">
        <f t="shared" si="30"/>
        <v>1.894511938470957</v>
      </c>
      <c r="L38" s="34">
        <f t="shared" si="31"/>
        <v>0.12286788453987073</v>
      </c>
      <c r="M38" s="32">
        <f t="shared" si="32"/>
        <v>2.0347058219178078</v>
      </c>
      <c r="N38" s="31">
        <v>790000</v>
      </c>
      <c r="O38" s="31">
        <f>N38*0.9</f>
        <v>711000</v>
      </c>
      <c r="P38" s="31">
        <f t="shared" si="33"/>
        <v>934351.38</v>
      </c>
      <c r="Q38" s="37">
        <f t="shared" si="34"/>
        <v>750500</v>
      </c>
      <c r="R38" s="31">
        <f t="shared" si="35"/>
        <v>135090</v>
      </c>
      <c r="S38" s="31">
        <f t="shared" si="36"/>
        <v>131400</v>
      </c>
      <c r="T38" s="38">
        <v>0.09</v>
      </c>
      <c r="U38" s="31">
        <f t="shared" si="37"/>
        <v>67545</v>
      </c>
      <c r="V38" s="30"/>
      <c r="W38" s="30"/>
      <c r="X38" s="30"/>
      <c r="Y38" s="30">
        <v>18</v>
      </c>
      <c r="Z38" s="30">
        <f>AA38/2</f>
        <v>34.65</v>
      </c>
      <c r="AA38" s="30">
        <v>69.3</v>
      </c>
      <c r="AB38" s="31">
        <f t="shared" si="38"/>
        <v>0</v>
      </c>
      <c r="AC38" s="31">
        <f t="shared" si="39"/>
        <v>0</v>
      </c>
      <c r="AD38" s="31">
        <f t="shared" si="40"/>
        <v>1734.4799999999998</v>
      </c>
      <c r="AE38" s="31">
        <f>Z38*365*12*AI38</f>
        <v>865071.9</v>
      </c>
      <c r="AF38" s="30">
        <f t="shared" si="41"/>
        <v>303534</v>
      </c>
      <c r="AG38" s="31">
        <f t="shared" si="42"/>
        <v>1730143.8</v>
      </c>
      <c r="AH38" s="30"/>
      <c r="AI38" s="30">
        <v>5.7</v>
      </c>
      <c r="AJ38" s="30">
        <v>2.1999999999999999E-2</v>
      </c>
      <c r="AK38" s="30"/>
      <c r="AL38" s="30"/>
      <c r="AM38" s="30"/>
      <c r="AN38" s="30" t="s">
        <v>159</v>
      </c>
      <c r="AO38" s="30">
        <v>11.559948</v>
      </c>
      <c r="AP38" s="30">
        <v>1600</v>
      </c>
      <c r="AQ38" s="30"/>
      <c r="AR38" s="30">
        <v>69.3</v>
      </c>
      <c r="AS38" s="30"/>
      <c r="AT38" s="30" t="s">
        <v>63</v>
      </c>
      <c r="AU38" s="30" t="s">
        <v>56</v>
      </c>
      <c r="AV38" s="30">
        <v>17</v>
      </c>
      <c r="AW38" s="30" t="s">
        <v>10</v>
      </c>
      <c r="AX38" s="30" t="s">
        <v>181</v>
      </c>
      <c r="AY38" s="30">
        <v>26</v>
      </c>
      <c r="AZ38" s="30">
        <v>1</v>
      </c>
      <c r="BA38" s="30" t="s">
        <v>64</v>
      </c>
      <c r="BB38" s="30">
        <v>8.6999999999999993</v>
      </c>
      <c r="BC38" s="30">
        <v>100</v>
      </c>
      <c r="BD38" s="30"/>
      <c r="BE38" s="30"/>
      <c r="BF38" s="30">
        <v>150</v>
      </c>
      <c r="BG38" s="30">
        <f t="shared" si="43"/>
        <v>1800</v>
      </c>
      <c r="BH38" s="30">
        <v>216</v>
      </c>
      <c r="BI38" s="30">
        <v>380</v>
      </c>
      <c r="BJ38" s="30">
        <f t="shared" si="44"/>
        <v>657000</v>
      </c>
      <c r="BK38" s="30">
        <v>8</v>
      </c>
      <c r="BL38" s="30">
        <v>8</v>
      </c>
      <c r="BM38" s="30">
        <v>4.4000000000000004</v>
      </c>
      <c r="BN38" s="30">
        <v>11.7</v>
      </c>
      <c r="BO38" s="35">
        <f t="shared" si="45"/>
        <v>6.8</v>
      </c>
      <c r="BP38" s="32">
        <f t="shared" si="46"/>
        <v>1.0740000000000001</v>
      </c>
      <c r="BQ38" s="30" t="s">
        <v>27</v>
      </c>
      <c r="BR38" s="30" t="s">
        <v>38</v>
      </c>
      <c r="BS38" s="30" t="s">
        <v>40</v>
      </c>
      <c r="BT38" s="30" t="s">
        <v>40</v>
      </c>
      <c r="BU38" s="30" t="s">
        <v>40</v>
      </c>
      <c r="BV38" s="30"/>
      <c r="BW38" s="30" t="s">
        <v>117</v>
      </c>
      <c r="BX38" s="30"/>
      <c r="BY38" s="30"/>
      <c r="BZ38" s="30"/>
      <c r="CA38" s="30" t="s">
        <v>116</v>
      </c>
      <c r="CB38" s="30"/>
      <c r="CC38" s="30"/>
    </row>
    <row r="39" spans="1:81" ht="45">
      <c r="A39" s="29" t="s">
        <v>379</v>
      </c>
      <c r="B39" s="29" t="s">
        <v>381</v>
      </c>
      <c r="C39" s="29" t="s">
        <v>223</v>
      </c>
      <c r="D39" s="29">
        <v>216</v>
      </c>
      <c r="E39" s="31">
        <f t="shared" si="24"/>
        <v>1392900</v>
      </c>
      <c r="F39" s="32">
        <f t="shared" si="25"/>
        <v>1.9415497221235984</v>
      </c>
      <c r="G39" s="33">
        <f t="shared" si="26"/>
        <v>27.585294595391474</v>
      </c>
      <c r="H39" s="34">
        <f t="shared" si="27"/>
        <v>0.12876312007428728</v>
      </c>
      <c r="I39" s="35">
        <f t="shared" si="28"/>
        <v>2.5</v>
      </c>
      <c r="J39" s="36">
        <f t="shared" si="29"/>
        <v>27.585294595391474</v>
      </c>
      <c r="K39" s="32">
        <f t="shared" si="30"/>
        <v>1.9415497221235984</v>
      </c>
      <c r="L39" s="34">
        <f t="shared" si="31"/>
        <v>0.12284603600663439</v>
      </c>
      <c r="M39" s="32">
        <f t="shared" si="32"/>
        <v>2.035067700405885</v>
      </c>
      <c r="N39" s="31">
        <v>1392900</v>
      </c>
      <c r="O39" s="31">
        <f>N39*0.72</f>
        <v>1002888</v>
      </c>
      <c r="P39" s="31">
        <f t="shared" si="33"/>
        <v>1324648.5599999998</v>
      </c>
      <c r="Q39" s="37">
        <f t="shared" si="34"/>
        <v>1197894</v>
      </c>
      <c r="R39" s="31">
        <f t="shared" si="35"/>
        <v>215620.91999999998</v>
      </c>
      <c r="S39" s="31">
        <f t="shared" si="36"/>
        <v>189216</v>
      </c>
      <c r="T39" s="38">
        <v>0.1</v>
      </c>
      <c r="U39" s="31">
        <f t="shared" si="37"/>
        <v>119789.40000000001</v>
      </c>
      <c r="V39" s="30"/>
      <c r="W39" s="30"/>
      <c r="X39" s="30">
        <v>7.5</v>
      </c>
      <c r="Y39" s="30">
        <v>6</v>
      </c>
      <c r="Z39" s="30">
        <v>3.5</v>
      </c>
      <c r="AA39" s="30">
        <v>3.5</v>
      </c>
      <c r="AB39" s="31">
        <f t="shared" si="38"/>
        <v>0</v>
      </c>
      <c r="AC39" s="31">
        <f t="shared" si="39"/>
        <v>1116900</v>
      </c>
      <c r="AD39" s="31">
        <f t="shared" si="40"/>
        <v>578.16</v>
      </c>
      <c r="AE39" s="31">
        <f t="shared" ref="AE39:AE70" si="47">AA39*365*12*AI39</f>
        <v>87381</v>
      </c>
      <c r="AF39" s="30">
        <f t="shared" si="41"/>
        <v>15330</v>
      </c>
      <c r="AG39" s="31">
        <f t="shared" si="42"/>
        <v>87381</v>
      </c>
      <c r="AH39" s="30"/>
      <c r="AI39" s="30">
        <v>5.7</v>
      </c>
      <c r="AJ39" s="30">
        <v>2.1999999999999999E-2</v>
      </c>
      <c r="AK39" s="30">
        <v>34</v>
      </c>
      <c r="AL39" s="30">
        <v>6</v>
      </c>
      <c r="AM39" s="30"/>
      <c r="AN39" s="30" t="s">
        <v>385</v>
      </c>
      <c r="AO39" s="30">
        <v>12.96</v>
      </c>
      <c r="AP39" s="30"/>
      <c r="AQ39" s="30"/>
      <c r="AR39" s="30">
        <v>3.5</v>
      </c>
      <c r="AS39" s="30" t="s">
        <v>386</v>
      </c>
      <c r="AT39" s="30"/>
      <c r="AU39" s="30"/>
      <c r="AV39" s="30"/>
      <c r="AW39" s="30"/>
      <c r="AX39" s="30" t="s">
        <v>387</v>
      </c>
      <c r="AY39" s="30"/>
      <c r="AZ39" s="30">
        <v>1</v>
      </c>
      <c r="BA39" s="30" t="s">
        <v>389</v>
      </c>
      <c r="BB39" s="30">
        <v>12.96</v>
      </c>
      <c r="BC39" s="30"/>
      <c r="BD39" s="30"/>
      <c r="BE39" s="30"/>
      <c r="BF39" s="30">
        <v>216</v>
      </c>
      <c r="BG39" s="30">
        <f t="shared" si="43"/>
        <v>2592</v>
      </c>
      <c r="BH39" s="30"/>
      <c r="BI39" s="30"/>
      <c r="BJ39" s="30">
        <f t="shared" si="44"/>
        <v>946080</v>
      </c>
      <c r="BK39" s="30">
        <v>5</v>
      </c>
      <c r="BL39" s="30">
        <v>6</v>
      </c>
      <c r="BM39" s="30">
        <v>2.9</v>
      </c>
      <c r="BN39" s="30">
        <v>1.8</v>
      </c>
      <c r="BO39" s="35">
        <f t="shared" si="45"/>
        <v>4.6333333333333337</v>
      </c>
      <c r="BP39" s="32">
        <f t="shared" si="46"/>
        <v>1.0481666666666667</v>
      </c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</row>
    <row r="40" spans="1:81" ht="45">
      <c r="A40" s="58" t="s">
        <v>21</v>
      </c>
      <c r="B40" s="58" t="s">
        <v>35</v>
      </c>
      <c r="C40" s="29" t="s">
        <v>223</v>
      </c>
      <c r="D40" s="30">
        <v>180</v>
      </c>
      <c r="E40" s="31">
        <f t="shared" si="24"/>
        <v>890000</v>
      </c>
      <c r="F40" s="32">
        <f t="shared" si="25"/>
        <v>1.9683911691351168</v>
      </c>
      <c r="G40" s="33">
        <f t="shared" si="26"/>
        <v>24.544060874506343</v>
      </c>
      <c r="H40" s="34">
        <f t="shared" si="27"/>
        <v>0.12700727574887791</v>
      </c>
      <c r="I40" s="35">
        <f t="shared" si="28"/>
        <v>2.5</v>
      </c>
      <c r="J40" s="36">
        <f t="shared" si="29"/>
        <v>24.544060874506343</v>
      </c>
      <c r="K40" s="32">
        <f t="shared" si="30"/>
        <v>1.9683911691351168</v>
      </c>
      <c r="L40" s="34">
        <f t="shared" si="31"/>
        <v>0.11927432375853303</v>
      </c>
      <c r="M40" s="32">
        <f t="shared" si="32"/>
        <v>2.0960085299340436</v>
      </c>
      <c r="N40" s="31">
        <v>890000</v>
      </c>
      <c r="O40" s="31">
        <f>N40*0.9</f>
        <v>801000</v>
      </c>
      <c r="P40" s="31">
        <f t="shared" si="33"/>
        <v>1169804.5</v>
      </c>
      <c r="Q40" s="37">
        <f t="shared" si="34"/>
        <v>845500</v>
      </c>
      <c r="R40" s="31">
        <f t="shared" si="35"/>
        <v>152190</v>
      </c>
      <c r="S40" s="31">
        <f t="shared" si="36"/>
        <v>157680</v>
      </c>
      <c r="T40" s="38">
        <v>0.1</v>
      </c>
      <c r="U40" s="31">
        <f t="shared" si="37"/>
        <v>84550</v>
      </c>
      <c r="V40" s="30"/>
      <c r="W40" s="30"/>
      <c r="X40" s="30">
        <v>6.8</v>
      </c>
      <c r="Y40" s="30">
        <v>15</v>
      </c>
      <c r="Z40" s="30"/>
      <c r="AA40" s="30">
        <v>2.85</v>
      </c>
      <c r="AB40" s="31">
        <f t="shared" si="38"/>
        <v>0</v>
      </c>
      <c r="AC40" s="31">
        <f t="shared" si="39"/>
        <v>1012656</v>
      </c>
      <c r="AD40" s="31">
        <f t="shared" si="40"/>
        <v>1445.3999999999999</v>
      </c>
      <c r="AE40" s="31">
        <f t="shared" si="47"/>
        <v>71153.100000000006</v>
      </c>
      <c r="AF40" s="30">
        <f t="shared" si="41"/>
        <v>12483</v>
      </c>
      <c r="AG40" s="31">
        <f t="shared" si="42"/>
        <v>71153.100000000006</v>
      </c>
      <c r="AH40" s="30"/>
      <c r="AI40" s="30">
        <v>5.7</v>
      </c>
      <c r="AJ40" s="30">
        <v>2.1999999999999999E-2</v>
      </c>
      <c r="AK40" s="30">
        <v>34</v>
      </c>
      <c r="AL40" s="30"/>
      <c r="AM40" s="30"/>
      <c r="AN40" s="30" t="s">
        <v>77</v>
      </c>
      <c r="AO40" s="30">
        <v>11.47819855</v>
      </c>
      <c r="AP40" s="30">
        <v>1650</v>
      </c>
      <c r="AQ40" s="30"/>
      <c r="AR40" s="30">
        <v>75</v>
      </c>
      <c r="AS40" s="30" t="s">
        <v>55</v>
      </c>
      <c r="AT40" s="30"/>
      <c r="AU40" s="30" t="s">
        <v>60</v>
      </c>
      <c r="AV40" s="30">
        <v>20</v>
      </c>
      <c r="AW40" s="30" t="s">
        <v>65</v>
      </c>
      <c r="AX40" s="30" t="s">
        <v>23</v>
      </c>
      <c r="AY40" s="30">
        <v>24</v>
      </c>
      <c r="AZ40" s="30">
        <v>1</v>
      </c>
      <c r="BA40" s="30" t="s">
        <v>78</v>
      </c>
      <c r="BB40" s="30">
        <v>10.8</v>
      </c>
      <c r="BC40" s="30">
        <v>100</v>
      </c>
      <c r="BD40" s="30"/>
      <c r="BE40" s="30"/>
      <c r="BF40" s="30">
        <v>180</v>
      </c>
      <c r="BG40" s="30">
        <f t="shared" si="43"/>
        <v>2160</v>
      </c>
      <c r="BH40" s="30">
        <v>252</v>
      </c>
      <c r="BI40" s="30">
        <v>504</v>
      </c>
      <c r="BJ40" s="30">
        <f t="shared" si="44"/>
        <v>788400</v>
      </c>
      <c r="BK40" s="30">
        <v>7</v>
      </c>
      <c r="BL40" s="30">
        <v>7</v>
      </c>
      <c r="BM40" s="30">
        <v>3.9</v>
      </c>
      <c r="BN40" s="30">
        <v>28.4</v>
      </c>
      <c r="BO40" s="35">
        <f t="shared" si="45"/>
        <v>5.9666666666666659</v>
      </c>
      <c r="BP40" s="32">
        <f t="shared" si="46"/>
        <v>1.0648333333333333</v>
      </c>
      <c r="BQ40" s="30" t="s">
        <v>305</v>
      </c>
      <c r="BR40" s="30"/>
      <c r="BS40" s="30"/>
      <c r="BT40" s="30"/>
      <c r="BU40" s="30"/>
      <c r="BV40" s="30"/>
      <c r="BW40" s="30" t="s">
        <v>53</v>
      </c>
      <c r="BX40" s="30"/>
      <c r="BY40" s="30"/>
      <c r="BZ40" s="30"/>
      <c r="CA40" s="30"/>
      <c r="CB40" s="30"/>
      <c r="CC40" s="30"/>
    </row>
    <row r="41" spans="1:81" ht="45">
      <c r="A41" s="58" t="s">
        <v>340</v>
      </c>
      <c r="B41" s="58" t="s">
        <v>342</v>
      </c>
      <c r="C41" s="29" t="s">
        <v>223</v>
      </c>
      <c r="D41" s="30">
        <v>120</v>
      </c>
      <c r="E41" s="31">
        <f t="shared" si="24"/>
        <v>2153124.48</v>
      </c>
      <c r="F41" s="32">
        <f t="shared" si="25"/>
        <v>1.9752211600607712</v>
      </c>
      <c r="G41" s="33">
        <f t="shared" si="26"/>
        <v>91.650827412284045</v>
      </c>
      <c r="H41" s="34">
        <f t="shared" si="27"/>
        <v>0.1265681054127166</v>
      </c>
      <c r="I41" s="35">
        <f t="shared" si="28"/>
        <v>2.5</v>
      </c>
      <c r="J41" s="36">
        <f t="shared" si="29"/>
        <v>91.650827412284045</v>
      </c>
      <c r="K41" s="32">
        <f t="shared" si="30"/>
        <v>1.9752211600607712</v>
      </c>
      <c r="L41" s="34">
        <f t="shared" si="31"/>
        <v>0.11633097923962921</v>
      </c>
      <c r="M41" s="32">
        <f t="shared" si="32"/>
        <v>2.1490406221461189</v>
      </c>
      <c r="N41" s="31">
        <v>2153124.48</v>
      </c>
      <c r="O41" s="31">
        <f>N41*0.93</f>
        <v>2002405.7664000001</v>
      </c>
      <c r="P41" s="31">
        <f t="shared" si="33"/>
        <v>529630.87862400012</v>
      </c>
      <c r="Q41" s="37">
        <f t="shared" si="34"/>
        <v>2077765.1232</v>
      </c>
      <c r="R41" s="31">
        <f t="shared" si="35"/>
        <v>373997.72217600001</v>
      </c>
      <c r="S41" s="30">
        <f t="shared" si="36"/>
        <v>105120</v>
      </c>
      <c r="T41" s="38">
        <v>7.0000000000000007E-2</v>
      </c>
      <c r="U41" s="31">
        <f t="shared" si="37"/>
        <v>145443.55862400003</v>
      </c>
      <c r="V41" s="30"/>
      <c r="W41" s="30"/>
      <c r="X41" s="30">
        <v>2.2000000000000002</v>
      </c>
      <c r="Y41" s="30">
        <v>17</v>
      </c>
      <c r="Z41" s="30"/>
      <c r="AA41" s="30">
        <v>2.2000000000000002</v>
      </c>
      <c r="AB41" s="31">
        <f t="shared" si="38"/>
        <v>0</v>
      </c>
      <c r="AC41" s="31">
        <f t="shared" si="39"/>
        <v>327624.00000000006</v>
      </c>
      <c r="AD41" s="31">
        <f t="shared" si="40"/>
        <v>1638.12</v>
      </c>
      <c r="AE41" s="31">
        <f t="shared" si="47"/>
        <v>54925.200000000012</v>
      </c>
      <c r="AF41" s="30">
        <f t="shared" si="41"/>
        <v>9636.0000000000018</v>
      </c>
      <c r="AG41" s="31">
        <f t="shared" si="42"/>
        <v>54925.200000000012</v>
      </c>
      <c r="AH41" s="30"/>
      <c r="AI41" s="30">
        <v>5.7</v>
      </c>
      <c r="AJ41" s="30">
        <v>2.1999999999999999E-2</v>
      </c>
      <c r="AK41" s="30">
        <v>34</v>
      </c>
      <c r="AL41" s="30">
        <v>6</v>
      </c>
      <c r="AM41" s="30"/>
      <c r="AN41" s="30" t="s">
        <v>349</v>
      </c>
      <c r="AO41" s="30">
        <v>6.73</v>
      </c>
      <c r="AP41" s="44">
        <v>1450</v>
      </c>
      <c r="AQ41" s="30"/>
      <c r="AR41" s="30">
        <v>80</v>
      </c>
      <c r="AS41" s="30"/>
      <c r="AT41" s="30"/>
      <c r="AU41" s="30" t="s">
        <v>347</v>
      </c>
      <c r="AV41" s="30"/>
      <c r="AW41" s="30"/>
      <c r="AX41" s="30"/>
      <c r="AY41" s="30"/>
      <c r="AZ41" s="30">
        <v>1</v>
      </c>
      <c r="BA41" s="30" t="s">
        <v>16</v>
      </c>
      <c r="BB41" s="30"/>
      <c r="BC41" s="30"/>
      <c r="BD41" s="30"/>
      <c r="BE41" s="30"/>
      <c r="BF41" s="30">
        <v>120</v>
      </c>
      <c r="BG41" s="30">
        <f t="shared" si="43"/>
        <v>1440</v>
      </c>
      <c r="BH41" s="30">
        <v>300</v>
      </c>
      <c r="BI41" s="30">
        <v>600</v>
      </c>
      <c r="BJ41" s="30">
        <f t="shared" si="44"/>
        <v>525600</v>
      </c>
      <c r="BK41" s="30">
        <v>10</v>
      </c>
      <c r="BL41" s="30">
        <v>8</v>
      </c>
      <c r="BM41" s="30">
        <v>4.8</v>
      </c>
      <c r="BN41" s="30">
        <v>6</v>
      </c>
      <c r="BO41" s="35">
        <f t="shared" si="45"/>
        <v>7.6000000000000005</v>
      </c>
      <c r="BP41" s="32">
        <f t="shared" si="46"/>
        <v>1.0880000000000001</v>
      </c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</row>
    <row r="42" spans="1:81" ht="45">
      <c r="A42" s="29" t="s">
        <v>379</v>
      </c>
      <c r="B42" s="29" t="s">
        <v>380</v>
      </c>
      <c r="C42" s="29" t="s">
        <v>223</v>
      </c>
      <c r="D42" s="29">
        <v>180</v>
      </c>
      <c r="E42" s="31">
        <f t="shared" si="24"/>
        <v>1121618</v>
      </c>
      <c r="F42" s="32">
        <f t="shared" si="25"/>
        <v>1.979351395843967</v>
      </c>
      <c r="G42" s="33">
        <f t="shared" si="26"/>
        <v>28.590628821110293</v>
      </c>
      <c r="H42" s="34">
        <f t="shared" si="27"/>
        <v>0.12630400065643907</v>
      </c>
      <c r="I42" s="35">
        <f t="shared" si="28"/>
        <v>2.5</v>
      </c>
      <c r="J42" s="36">
        <f t="shared" si="29"/>
        <v>28.590628821110293</v>
      </c>
      <c r="K42" s="32">
        <f t="shared" si="30"/>
        <v>1.979351395843967</v>
      </c>
      <c r="L42" s="34">
        <f t="shared" si="31"/>
        <v>0.12049992112237785</v>
      </c>
      <c r="M42" s="32">
        <f t="shared" si="32"/>
        <v>2.0746901547437848</v>
      </c>
      <c r="N42" s="31">
        <v>1121618</v>
      </c>
      <c r="O42" s="31">
        <f>N42*0.72</f>
        <v>807564.96</v>
      </c>
      <c r="P42" s="31">
        <f t="shared" si="33"/>
        <v>1134922.108</v>
      </c>
      <c r="Q42" s="37">
        <f t="shared" si="34"/>
        <v>964591.48</v>
      </c>
      <c r="R42" s="31">
        <f t="shared" si="35"/>
        <v>173626.46639999998</v>
      </c>
      <c r="S42" s="31">
        <f t="shared" si="36"/>
        <v>157680</v>
      </c>
      <c r="T42" s="38">
        <v>0.1</v>
      </c>
      <c r="U42" s="31">
        <f t="shared" si="37"/>
        <v>96459.148000000001</v>
      </c>
      <c r="V42" s="30"/>
      <c r="W42" s="30"/>
      <c r="X42" s="30">
        <v>6.5</v>
      </c>
      <c r="Y42" s="30">
        <v>6</v>
      </c>
      <c r="Z42" s="30">
        <v>2.8</v>
      </c>
      <c r="AA42" s="30">
        <v>2.8</v>
      </c>
      <c r="AB42" s="31">
        <f t="shared" si="38"/>
        <v>0</v>
      </c>
      <c r="AC42" s="31">
        <f t="shared" si="39"/>
        <v>967980</v>
      </c>
      <c r="AD42" s="31">
        <f t="shared" si="40"/>
        <v>578.16</v>
      </c>
      <c r="AE42" s="31">
        <f t="shared" si="47"/>
        <v>69904.799999999988</v>
      </c>
      <c r="AF42" s="30">
        <f t="shared" si="41"/>
        <v>12263.999999999998</v>
      </c>
      <c r="AG42" s="31">
        <f t="shared" si="42"/>
        <v>69904.799999999988</v>
      </c>
      <c r="AH42" s="30"/>
      <c r="AI42" s="30">
        <v>5.7</v>
      </c>
      <c r="AJ42" s="30">
        <v>2.1999999999999999E-2</v>
      </c>
      <c r="AK42" s="30">
        <v>34</v>
      </c>
      <c r="AL42" s="30">
        <v>6</v>
      </c>
      <c r="AM42" s="30"/>
      <c r="AN42" s="30" t="s">
        <v>384</v>
      </c>
      <c r="AO42" s="30">
        <v>10.7</v>
      </c>
      <c r="AP42" s="30"/>
      <c r="AQ42" s="30"/>
      <c r="AR42" s="30">
        <v>2.8</v>
      </c>
      <c r="AS42" s="30" t="s">
        <v>386</v>
      </c>
      <c r="AT42" s="30"/>
      <c r="AU42" s="30"/>
      <c r="AV42" s="30"/>
      <c r="AW42" s="30"/>
      <c r="AX42" s="30" t="s">
        <v>387</v>
      </c>
      <c r="AY42" s="30"/>
      <c r="AZ42" s="30">
        <v>1</v>
      </c>
      <c r="BA42" s="30" t="s">
        <v>388</v>
      </c>
      <c r="BB42" s="30">
        <v>10.7</v>
      </c>
      <c r="BC42" s="30"/>
      <c r="BD42" s="30"/>
      <c r="BE42" s="30"/>
      <c r="BF42" s="30">
        <v>180</v>
      </c>
      <c r="BG42" s="30">
        <f t="shared" si="43"/>
        <v>2160</v>
      </c>
      <c r="BH42" s="30"/>
      <c r="BI42" s="30"/>
      <c r="BJ42" s="30">
        <f t="shared" si="44"/>
        <v>788400</v>
      </c>
      <c r="BK42" s="30">
        <v>5</v>
      </c>
      <c r="BL42" s="30">
        <v>6</v>
      </c>
      <c r="BM42" s="30">
        <v>2.9</v>
      </c>
      <c r="BN42" s="30">
        <v>1.8</v>
      </c>
      <c r="BO42" s="35">
        <f t="shared" si="45"/>
        <v>4.6333333333333337</v>
      </c>
      <c r="BP42" s="32">
        <f t="shared" si="46"/>
        <v>1.0481666666666667</v>
      </c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</row>
    <row r="43" spans="1:81" ht="45">
      <c r="A43" s="58" t="s">
        <v>340</v>
      </c>
      <c r="B43" s="58" t="s">
        <v>345</v>
      </c>
      <c r="C43" s="29" t="s">
        <v>223</v>
      </c>
      <c r="D43" s="30">
        <v>192</v>
      </c>
      <c r="E43" s="31">
        <f t="shared" si="24"/>
        <v>2277343.2000000002</v>
      </c>
      <c r="F43" s="32">
        <f t="shared" si="25"/>
        <v>2.0485663648385568</v>
      </c>
      <c r="G43" s="33">
        <f t="shared" si="26"/>
        <v>70.430075559947511</v>
      </c>
      <c r="H43" s="34">
        <f t="shared" si="27"/>
        <v>0.12203656385801395</v>
      </c>
      <c r="I43" s="35">
        <f t="shared" si="28"/>
        <v>2.5</v>
      </c>
      <c r="J43" s="36">
        <f t="shared" si="29"/>
        <v>70.430075559947511</v>
      </c>
      <c r="K43" s="32">
        <f t="shared" si="30"/>
        <v>2.0485663648385568</v>
      </c>
      <c r="L43" s="34">
        <f t="shared" si="31"/>
        <v>0.11216595942832165</v>
      </c>
      <c r="M43" s="32">
        <f t="shared" si="32"/>
        <v>2.2288402049443494</v>
      </c>
      <c r="N43" s="43">
        <v>2277343.2000000002</v>
      </c>
      <c r="O43" s="31">
        <f>N43*0.93</f>
        <v>2117929.1760000004</v>
      </c>
      <c r="P43" s="31">
        <f t="shared" si="33"/>
        <v>1103917.8531600002</v>
      </c>
      <c r="Q43" s="37">
        <f t="shared" si="34"/>
        <v>2197636.1880000001</v>
      </c>
      <c r="R43" s="31">
        <f t="shared" si="35"/>
        <v>395574.51384000003</v>
      </c>
      <c r="S43" s="30">
        <f t="shared" si="36"/>
        <v>168192</v>
      </c>
      <c r="T43" s="38">
        <v>7.0000000000000007E-2</v>
      </c>
      <c r="U43" s="31">
        <f t="shared" si="37"/>
        <v>153834.53316000002</v>
      </c>
      <c r="V43" s="30"/>
      <c r="W43" s="30"/>
      <c r="X43" s="30">
        <v>6</v>
      </c>
      <c r="Y43" s="30">
        <v>17</v>
      </c>
      <c r="Z43" s="30"/>
      <c r="AA43" s="30">
        <v>2.2000000000000002</v>
      </c>
      <c r="AB43" s="31">
        <f t="shared" si="38"/>
        <v>0</v>
      </c>
      <c r="AC43" s="31">
        <f t="shared" si="39"/>
        <v>893520</v>
      </c>
      <c r="AD43" s="31">
        <f t="shared" si="40"/>
        <v>1638.12</v>
      </c>
      <c r="AE43" s="31">
        <f t="shared" si="47"/>
        <v>54925.200000000012</v>
      </c>
      <c r="AF43" s="30">
        <f t="shared" si="41"/>
        <v>9636.0000000000018</v>
      </c>
      <c r="AG43" s="31">
        <f t="shared" si="42"/>
        <v>54925.200000000012</v>
      </c>
      <c r="AH43" s="30"/>
      <c r="AI43" s="30">
        <v>5.7</v>
      </c>
      <c r="AJ43" s="30">
        <v>2.1999999999999999E-2</v>
      </c>
      <c r="AK43" s="30">
        <v>34</v>
      </c>
      <c r="AL43" s="30">
        <v>6</v>
      </c>
      <c r="AM43" s="30"/>
      <c r="AN43" s="30" t="s">
        <v>350</v>
      </c>
      <c r="AO43" s="30">
        <v>8.9250000000000007</v>
      </c>
      <c r="AP43" s="44">
        <v>1800</v>
      </c>
      <c r="AQ43" s="30"/>
      <c r="AR43" s="30">
        <v>100</v>
      </c>
      <c r="AS43" s="30"/>
      <c r="AT43" s="30"/>
      <c r="AU43" s="30" t="s">
        <v>347</v>
      </c>
      <c r="AV43" s="30"/>
      <c r="AW43" s="30"/>
      <c r="AX43" s="30"/>
      <c r="AY43" s="30"/>
      <c r="AZ43" s="30">
        <v>1</v>
      </c>
      <c r="BA43" s="30" t="s">
        <v>93</v>
      </c>
      <c r="BB43" s="30"/>
      <c r="BC43" s="30"/>
      <c r="BD43" s="30"/>
      <c r="BE43" s="30"/>
      <c r="BF43" s="30">
        <v>192</v>
      </c>
      <c r="BG43" s="30">
        <f t="shared" si="43"/>
        <v>2304</v>
      </c>
      <c r="BH43" s="30">
        <v>466</v>
      </c>
      <c r="BI43" s="30">
        <v>933</v>
      </c>
      <c r="BJ43" s="30">
        <f t="shared" si="44"/>
        <v>840960</v>
      </c>
      <c r="BK43" s="30">
        <v>10</v>
      </c>
      <c r="BL43" s="30">
        <v>8</v>
      </c>
      <c r="BM43" s="30">
        <v>4.8</v>
      </c>
      <c r="BN43" s="30">
        <v>6</v>
      </c>
      <c r="BO43" s="35">
        <f t="shared" si="45"/>
        <v>7.6000000000000005</v>
      </c>
      <c r="BP43" s="32">
        <f t="shared" si="46"/>
        <v>1.0880000000000001</v>
      </c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</row>
    <row r="44" spans="1:81" ht="45">
      <c r="A44" s="59" t="s">
        <v>364</v>
      </c>
      <c r="B44" s="59" t="s">
        <v>365</v>
      </c>
      <c r="C44" s="29" t="s">
        <v>245</v>
      </c>
      <c r="D44" s="29">
        <v>180</v>
      </c>
      <c r="E44" s="31">
        <f t="shared" si="24"/>
        <v>1145000</v>
      </c>
      <c r="F44" s="32">
        <f t="shared" si="25"/>
        <v>2.1458687244731989</v>
      </c>
      <c r="G44" s="33">
        <f t="shared" si="26"/>
        <v>44.906448192470464</v>
      </c>
      <c r="H44" s="34">
        <f t="shared" si="27"/>
        <v>0.11650293289090825</v>
      </c>
      <c r="I44" s="35">
        <f t="shared" si="28"/>
        <v>2.5</v>
      </c>
      <c r="J44" s="36">
        <f t="shared" si="29"/>
        <v>44.906448192470464</v>
      </c>
      <c r="K44" s="32">
        <f t="shared" si="30"/>
        <v>2.1458687244731989</v>
      </c>
      <c r="L44" s="34">
        <f t="shared" si="31"/>
        <v>0.10849256516303733</v>
      </c>
      <c r="M44" s="32">
        <f t="shared" si="32"/>
        <v>2.3043053652968037</v>
      </c>
      <c r="N44" s="40">
        <v>1145000</v>
      </c>
      <c r="O44" s="30">
        <f>N44*0.8</f>
        <v>916000</v>
      </c>
      <c r="P44" s="31">
        <f t="shared" si="33"/>
        <v>1267881.48</v>
      </c>
      <c r="Q44" s="37">
        <f t="shared" si="34"/>
        <v>1030500</v>
      </c>
      <c r="R44" s="31">
        <f t="shared" si="35"/>
        <v>185490</v>
      </c>
      <c r="S44" s="31">
        <f t="shared" si="36"/>
        <v>157680</v>
      </c>
      <c r="T44" s="38">
        <v>0.09</v>
      </c>
      <c r="U44" s="31">
        <f t="shared" si="37"/>
        <v>92745</v>
      </c>
      <c r="V44" s="30"/>
      <c r="W44" s="30"/>
      <c r="X44" s="30"/>
      <c r="Y44" s="30">
        <v>18</v>
      </c>
      <c r="Z44" s="30"/>
      <c r="AA44" s="30">
        <v>47</v>
      </c>
      <c r="AB44" s="31">
        <f t="shared" si="38"/>
        <v>0</v>
      </c>
      <c r="AC44" s="31">
        <f t="shared" si="39"/>
        <v>0</v>
      </c>
      <c r="AD44" s="31">
        <f t="shared" si="40"/>
        <v>1734.4799999999998</v>
      </c>
      <c r="AE44" s="31">
        <f t="shared" si="47"/>
        <v>1173402</v>
      </c>
      <c r="AF44" s="30">
        <f t="shared" si="41"/>
        <v>205860</v>
      </c>
      <c r="AG44" s="31">
        <f t="shared" si="42"/>
        <v>1173402</v>
      </c>
      <c r="AH44" s="30"/>
      <c r="AI44" s="30">
        <v>5.7</v>
      </c>
      <c r="AJ44" s="30">
        <v>2.1999999999999999E-2</v>
      </c>
      <c r="AK44" s="30"/>
      <c r="AL44" s="30">
        <v>6</v>
      </c>
      <c r="AM44" s="30"/>
      <c r="AN44" s="30" t="s">
        <v>373</v>
      </c>
      <c r="AO44" s="30">
        <v>6.23</v>
      </c>
      <c r="AP44" s="30">
        <v>1380</v>
      </c>
      <c r="AQ44" s="30"/>
      <c r="AR44" s="30">
        <v>47</v>
      </c>
      <c r="AS44" s="30"/>
      <c r="AT44" s="30"/>
      <c r="AU44" s="30" t="s">
        <v>56</v>
      </c>
      <c r="AV44" s="30"/>
      <c r="AW44" s="30"/>
      <c r="AX44" s="30"/>
      <c r="AY44" s="30">
        <v>18</v>
      </c>
      <c r="AZ44" s="30">
        <v>1</v>
      </c>
      <c r="BA44" s="30" t="s">
        <v>16</v>
      </c>
      <c r="BB44" s="30"/>
      <c r="BC44" s="30"/>
      <c r="BD44" s="30"/>
      <c r="BE44" s="30"/>
      <c r="BF44" s="30">
        <v>180</v>
      </c>
      <c r="BG44" s="30">
        <f t="shared" si="43"/>
        <v>2160</v>
      </c>
      <c r="BH44" s="30">
        <v>416</v>
      </c>
      <c r="BI44" s="30">
        <v>833</v>
      </c>
      <c r="BJ44" s="30">
        <f t="shared" si="44"/>
        <v>788400</v>
      </c>
      <c r="BK44" s="30">
        <v>8</v>
      </c>
      <c r="BL44" s="30">
        <v>8</v>
      </c>
      <c r="BM44" s="30">
        <v>4.3</v>
      </c>
      <c r="BN44" s="30">
        <v>6.3</v>
      </c>
      <c r="BO44" s="35">
        <f t="shared" si="45"/>
        <v>6.7666666666666666</v>
      </c>
      <c r="BP44" s="32">
        <f t="shared" si="46"/>
        <v>1.0738333333333334</v>
      </c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</row>
    <row r="45" spans="1:81" ht="45">
      <c r="A45" s="61" t="s">
        <v>323</v>
      </c>
      <c r="B45" s="58" t="s">
        <v>324</v>
      </c>
      <c r="C45" s="29" t="s">
        <v>245</v>
      </c>
      <c r="D45" s="30">
        <v>128</v>
      </c>
      <c r="E45" s="31">
        <f t="shared" si="24"/>
        <v>462810</v>
      </c>
      <c r="F45" s="32">
        <f t="shared" si="25"/>
        <v>2.1709627174717436</v>
      </c>
      <c r="G45" s="33">
        <f t="shared" si="26"/>
        <v>28.998047664291519</v>
      </c>
      <c r="H45" s="34">
        <f t="shared" si="27"/>
        <v>0.11515628434704059</v>
      </c>
      <c r="I45" s="35">
        <f t="shared" si="28"/>
        <v>2.5</v>
      </c>
      <c r="J45" s="36">
        <f t="shared" si="29"/>
        <v>28.998047664291519</v>
      </c>
      <c r="K45" s="32">
        <f t="shared" si="30"/>
        <v>2.1709627174717436</v>
      </c>
      <c r="L45" s="34">
        <f t="shared" si="31"/>
        <v>0.10986447862652941</v>
      </c>
      <c r="M45" s="32">
        <f t="shared" si="32"/>
        <v>2.2755307550299655</v>
      </c>
      <c r="N45" s="31">
        <v>462810</v>
      </c>
      <c r="O45" s="31">
        <f>N45*0.9</f>
        <v>416529</v>
      </c>
      <c r="P45" s="31">
        <f t="shared" si="33"/>
        <v>941462.34</v>
      </c>
      <c r="Q45" s="37">
        <f t="shared" si="34"/>
        <v>439669.5</v>
      </c>
      <c r="R45" s="31">
        <f t="shared" si="35"/>
        <v>79140.509999999995</v>
      </c>
      <c r="S45" s="31">
        <f t="shared" si="36"/>
        <v>112128</v>
      </c>
      <c r="T45" s="38">
        <v>0.12</v>
      </c>
      <c r="U45" s="31">
        <f t="shared" si="37"/>
        <v>52760.34</v>
      </c>
      <c r="V45" s="30"/>
      <c r="W45" s="30"/>
      <c r="X45" s="30"/>
      <c r="Y45" s="30">
        <v>25</v>
      </c>
      <c r="Z45" s="30"/>
      <c r="AA45" s="30">
        <v>35.5</v>
      </c>
      <c r="AB45" s="31">
        <f t="shared" si="38"/>
        <v>0</v>
      </c>
      <c r="AC45" s="31">
        <f t="shared" si="39"/>
        <v>0</v>
      </c>
      <c r="AD45" s="31">
        <f t="shared" si="40"/>
        <v>2409</v>
      </c>
      <c r="AE45" s="31">
        <f t="shared" si="47"/>
        <v>886293</v>
      </c>
      <c r="AF45" s="30">
        <f t="shared" si="41"/>
        <v>155490</v>
      </c>
      <c r="AG45" s="31">
        <f t="shared" si="42"/>
        <v>886293</v>
      </c>
      <c r="AH45" s="30"/>
      <c r="AI45" s="30">
        <v>5.7</v>
      </c>
      <c r="AJ45" s="30">
        <v>2.1999999999999999E-2</v>
      </c>
      <c r="AK45" s="30"/>
      <c r="AL45" s="30"/>
      <c r="AM45" s="30"/>
      <c r="AN45" s="30" t="s">
        <v>327</v>
      </c>
      <c r="AO45" s="30">
        <v>7.2949999999999999</v>
      </c>
      <c r="AP45" s="30">
        <v>1080</v>
      </c>
      <c r="AQ45" s="30"/>
      <c r="AR45" s="30">
        <v>35.5</v>
      </c>
      <c r="AS45" s="30"/>
      <c r="AT45" s="30"/>
      <c r="AU45" s="30" t="s">
        <v>60</v>
      </c>
      <c r="AV45" s="30">
        <v>30</v>
      </c>
      <c r="AW45" s="45" t="s">
        <v>328</v>
      </c>
      <c r="AX45" s="30" t="s">
        <v>329</v>
      </c>
      <c r="AY45" s="30">
        <v>26</v>
      </c>
      <c r="AZ45" s="30">
        <v>1</v>
      </c>
      <c r="BA45" s="46" t="s">
        <v>331</v>
      </c>
      <c r="BB45" s="30">
        <v>9</v>
      </c>
      <c r="BC45" s="30"/>
      <c r="BD45" s="30"/>
      <c r="BE45" s="30"/>
      <c r="BF45" s="30">
        <v>128</v>
      </c>
      <c r="BG45" s="30">
        <f t="shared" si="43"/>
        <v>1536</v>
      </c>
      <c r="BH45" s="30">
        <v>200</v>
      </c>
      <c r="BI45" s="30">
        <v>300</v>
      </c>
      <c r="BJ45" s="30">
        <f t="shared" si="44"/>
        <v>560640</v>
      </c>
      <c r="BK45" s="30">
        <v>5</v>
      </c>
      <c r="BL45" s="30">
        <v>6</v>
      </c>
      <c r="BM45" s="30">
        <v>2.9</v>
      </c>
      <c r="BN45" s="30">
        <v>1.8</v>
      </c>
      <c r="BO45" s="35">
        <f t="shared" si="45"/>
        <v>4.6333333333333337</v>
      </c>
      <c r="BP45" s="32">
        <f t="shared" si="46"/>
        <v>1.0481666666666667</v>
      </c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</row>
    <row r="46" spans="1:81" ht="45">
      <c r="A46" s="58" t="s">
        <v>215</v>
      </c>
      <c r="B46" s="58" t="s">
        <v>203</v>
      </c>
      <c r="C46" s="29" t="s">
        <v>223</v>
      </c>
      <c r="D46" s="30">
        <v>150</v>
      </c>
      <c r="E46" s="31">
        <f t="shared" si="24"/>
        <v>780000</v>
      </c>
      <c r="F46" s="32">
        <f t="shared" si="25"/>
        <v>2.1732344145137086</v>
      </c>
      <c r="G46" s="33">
        <f t="shared" si="26"/>
        <v>41.994086377856654</v>
      </c>
      <c r="H46" s="34">
        <f t="shared" si="27"/>
        <v>0.11503591068243828</v>
      </c>
      <c r="I46" s="35">
        <f t="shared" si="28"/>
        <v>2.5</v>
      </c>
      <c r="J46" s="36">
        <f t="shared" si="29"/>
        <v>41.994086377856654</v>
      </c>
      <c r="K46" s="32">
        <f t="shared" si="30"/>
        <v>2.1732344145137086</v>
      </c>
      <c r="L46" s="34">
        <f t="shared" si="31"/>
        <v>0.10974963652323576</v>
      </c>
      <c r="M46" s="32">
        <f t="shared" si="32"/>
        <v>2.2779118721461189</v>
      </c>
      <c r="N46" s="31">
        <v>780000</v>
      </c>
      <c r="O46" s="31">
        <f>N46*0.9</f>
        <v>702000</v>
      </c>
      <c r="P46" s="31">
        <f t="shared" si="33"/>
        <v>1063890.48</v>
      </c>
      <c r="Q46" s="37">
        <f t="shared" si="34"/>
        <v>741000</v>
      </c>
      <c r="R46" s="31">
        <f t="shared" si="35"/>
        <v>133380</v>
      </c>
      <c r="S46" s="31">
        <f t="shared" si="36"/>
        <v>131400</v>
      </c>
      <c r="T46" s="38">
        <v>0.12</v>
      </c>
      <c r="U46" s="31">
        <f t="shared" si="37"/>
        <v>88920</v>
      </c>
      <c r="V46" s="30"/>
      <c r="W46" s="30"/>
      <c r="X46" s="30">
        <v>6.2</v>
      </c>
      <c r="Y46" s="30">
        <v>18</v>
      </c>
      <c r="Z46" s="30"/>
      <c r="AA46" s="30">
        <v>2</v>
      </c>
      <c r="AB46" s="31">
        <f t="shared" si="38"/>
        <v>0</v>
      </c>
      <c r="AC46" s="31">
        <f t="shared" si="39"/>
        <v>923304</v>
      </c>
      <c r="AD46" s="31">
        <f t="shared" si="40"/>
        <v>1734.4799999999998</v>
      </c>
      <c r="AE46" s="31">
        <f t="shared" si="47"/>
        <v>49932</v>
      </c>
      <c r="AF46" s="30">
        <f t="shared" si="41"/>
        <v>8760</v>
      </c>
      <c r="AG46" s="31">
        <f t="shared" si="42"/>
        <v>49932</v>
      </c>
      <c r="AH46" s="30"/>
      <c r="AI46" s="30">
        <v>5.7</v>
      </c>
      <c r="AJ46" s="30">
        <v>2.1999999999999999E-2</v>
      </c>
      <c r="AK46" s="30">
        <v>34</v>
      </c>
      <c r="AL46" s="30"/>
      <c r="AM46" s="30"/>
      <c r="AN46" s="30" t="s">
        <v>52</v>
      </c>
      <c r="AO46" s="30">
        <v>13.38208</v>
      </c>
      <c r="AP46" s="30">
        <v>2050</v>
      </c>
      <c r="AQ46" s="30"/>
      <c r="AR46" s="30" t="s">
        <v>32</v>
      </c>
      <c r="AS46" s="30" t="s">
        <v>55</v>
      </c>
      <c r="AT46" s="30"/>
      <c r="AU46" s="30" t="s">
        <v>56</v>
      </c>
      <c r="AV46" s="30">
        <v>25</v>
      </c>
      <c r="AW46" s="30" t="s">
        <v>26</v>
      </c>
      <c r="AX46" s="30" t="s">
        <v>26</v>
      </c>
      <c r="AY46" s="30"/>
      <c r="AZ46" s="30">
        <v>1</v>
      </c>
      <c r="BA46" s="30" t="s">
        <v>16</v>
      </c>
      <c r="BB46" s="30"/>
      <c r="BC46" s="30">
        <v>100</v>
      </c>
      <c r="BD46" s="30"/>
      <c r="BE46" s="30"/>
      <c r="BF46" s="30">
        <v>150</v>
      </c>
      <c r="BG46" s="30">
        <f t="shared" si="43"/>
        <v>1800</v>
      </c>
      <c r="BH46" s="30"/>
      <c r="BI46" s="30"/>
      <c r="BJ46" s="30">
        <f t="shared" si="44"/>
        <v>657000</v>
      </c>
      <c r="BK46" s="30">
        <v>5</v>
      </c>
      <c r="BL46" s="30">
        <v>6</v>
      </c>
      <c r="BM46" s="30">
        <v>2.9</v>
      </c>
      <c r="BN46" s="30">
        <v>1.8</v>
      </c>
      <c r="BO46" s="35">
        <f t="shared" si="45"/>
        <v>4.6333333333333337</v>
      </c>
      <c r="BP46" s="32">
        <f t="shared" si="46"/>
        <v>1.0481666666666667</v>
      </c>
      <c r="BQ46" s="30" t="s">
        <v>305</v>
      </c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</row>
    <row r="47" spans="1:81" ht="45">
      <c r="A47" s="58" t="s">
        <v>30</v>
      </c>
      <c r="B47" s="58" t="s">
        <v>85</v>
      </c>
      <c r="C47" s="29" t="s">
        <v>223</v>
      </c>
      <c r="D47" s="30">
        <v>180</v>
      </c>
      <c r="E47" s="31">
        <f t="shared" si="24"/>
        <v>2207357</v>
      </c>
      <c r="F47" s="32">
        <f t="shared" si="25"/>
        <v>2.238574507686931</v>
      </c>
      <c r="G47" s="33">
        <f t="shared" si="26"/>
        <v>127.04402757298878</v>
      </c>
      <c r="H47" s="34">
        <f t="shared" si="27"/>
        <v>0.11167821269363039</v>
      </c>
      <c r="I47" s="35">
        <f t="shared" si="28"/>
        <v>2.5</v>
      </c>
      <c r="J47" s="36">
        <f t="shared" si="29"/>
        <v>127.04402757298878</v>
      </c>
      <c r="K47" s="32">
        <f t="shared" si="30"/>
        <v>2.238574507686931</v>
      </c>
      <c r="L47" s="34">
        <f t="shared" si="31"/>
        <v>0.10247274448108003</v>
      </c>
      <c r="M47" s="32">
        <f t="shared" si="32"/>
        <v>2.4396731176274735</v>
      </c>
      <c r="N47" s="31">
        <v>2207357</v>
      </c>
      <c r="O47" s="31">
        <f>N47*0.95</f>
        <v>2096989.15</v>
      </c>
      <c r="P47" s="31">
        <f t="shared" si="33"/>
        <v>1151359.4752500001</v>
      </c>
      <c r="Q47" s="37">
        <f t="shared" si="34"/>
        <v>2152173.0750000002</v>
      </c>
      <c r="R47" s="31">
        <f t="shared" si="35"/>
        <v>387391.15350000001</v>
      </c>
      <c r="S47" s="31">
        <f t="shared" si="36"/>
        <v>157680</v>
      </c>
      <c r="T47" s="38">
        <v>7.0000000000000007E-2</v>
      </c>
      <c r="U47" s="31">
        <f t="shared" si="37"/>
        <v>150652.11525000003</v>
      </c>
      <c r="V47" s="30"/>
      <c r="W47" s="30"/>
      <c r="X47" s="30">
        <v>6.2</v>
      </c>
      <c r="Y47" s="30">
        <v>26</v>
      </c>
      <c r="Z47" s="30"/>
      <c r="AA47" s="30">
        <v>3</v>
      </c>
      <c r="AB47" s="31">
        <f t="shared" si="38"/>
        <v>0</v>
      </c>
      <c r="AC47" s="31">
        <f t="shared" si="39"/>
        <v>923304</v>
      </c>
      <c r="AD47" s="31">
        <f t="shared" si="40"/>
        <v>2505.3599999999997</v>
      </c>
      <c r="AE47" s="31">
        <f t="shared" si="47"/>
        <v>74898</v>
      </c>
      <c r="AF47" s="30">
        <f t="shared" si="41"/>
        <v>13140</v>
      </c>
      <c r="AG47" s="31">
        <f t="shared" si="42"/>
        <v>74898</v>
      </c>
      <c r="AH47" s="30"/>
      <c r="AI47" s="30">
        <v>5.7</v>
      </c>
      <c r="AJ47" s="30">
        <v>2.1999999999999999E-2</v>
      </c>
      <c r="AK47" s="30">
        <v>34</v>
      </c>
      <c r="AL47" s="30"/>
      <c r="AM47" s="30"/>
      <c r="AN47" s="30" t="s">
        <v>86</v>
      </c>
      <c r="AO47" s="30">
        <v>7.8771199999999997</v>
      </c>
      <c r="AP47" s="30">
        <v>2000</v>
      </c>
      <c r="AQ47" s="30"/>
      <c r="AR47" s="30" t="s">
        <v>88</v>
      </c>
      <c r="AS47" s="30"/>
      <c r="AT47" s="30"/>
      <c r="AU47" s="30"/>
      <c r="AV47" s="30"/>
      <c r="AW47" s="30"/>
      <c r="AX47" s="30"/>
      <c r="AY47" s="30"/>
      <c r="AZ47" s="30">
        <v>1</v>
      </c>
      <c r="BA47" s="30" t="s">
        <v>87</v>
      </c>
      <c r="BB47" s="30">
        <v>13.8</v>
      </c>
      <c r="BC47" s="30">
        <v>100</v>
      </c>
      <c r="BD47" s="30"/>
      <c r="BE47" s="30"/>
      <c r="BF47" s="30">
        <v>180</v>
      </c>
      <c r="BG47" s="30">
        <f t="shared" si="43"/>
        <v>2160</v>
      </c>
      <c r="BH47" s="30"/>
      <c r="BI47" s="30"/>
      <c r="BJ47" s="30">
        <f t="shared" si="44"/>
        <v>788400</v>
      </c>
      <c r="BK47" s="30">
        <v>10</v>
      </c>
      <c r="BL47" s="30">
        <v>9</v>
      </c>
      <c r="BM47" s="30">
        <v>4.9000000000000004</v>
      </c>
      <c r="BN47" s="30">
        <v>11.9</v>
      </c>
      <c r="BO47" s="35">
        <f t="shared" si="45"/>
        <v>7.9666666666666659</v>
      </c>
      <c r="BP47" s="32">
        <f t="shared" si="46"/>
        <v>1.0898333333333334</v>
      </c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</row>
    <row r="48" spans="1:81" ht="45">
      <c r="A48" s="58" t="s">
        <v>24</v>
      </c>
      <c r="B48" s="58" t="s">
        <v>101</v>
      </c>
      <c r="C48" s="29" t="s">
        <v>245</v>
      </c>
      <c r="D48" s="30">
        <v>180</v>
      </c>
      <c r="E48" s="31">
        <f t="shared" si="24"/>
        <v>997694</v>
      </c>
      <c r="F48" s="32">
        <f t="shared" si="25"/>
        <v>2.3151838975008805</v>
      </c>
      <c r="G48" s="33">
        <f t="shared" si="26"/>
        <v>74.976481614620823</v>
      </c>
      <c r="H48" s="34">
        <f t="shared" si="27"/>
        <v>0.10798278282336962</v>
      </c>
      <c r="I48" s="35">
        <f t="shared" si="28"/>
        <v>2.5</v>
      </c>
      <c r="J48" s="36">
        <f t="shared" si="29"/>
        <v>74.976481614620823</v>
      </c>
      <c r="K48" s="32">
        <f t="shared" si="30"/>
        <v>2.3151838975008805</v>
      </c>
      <c r="L48" s="34">
        <f t="shared" si="31"/>
        <v>0.10055823326714539</v>
      </c>
      <c r="M48" s="32">
        <f t="shared" si="32"/>
        <v>2.4861216419330288</v>
      </c>
      <c r="N48" s="31">
        <v>997694</v>
      </c>
      <c r="O48" s="31">
        <f>N48*0.8</f>
        <v>798155.20000000007</v>
      </c>
      <c r="P48" s="31">
        <f t="shared" si="33"/>
        <v>1406420.2139999999</v>
      </c>
      <c r="Q48" s="37">
        <f t="shared" si="34"/>
        <v>897924.60000000009</v>
      </c>
      <c r="R48" s="31">
        <f t="shared" si="35"/>
        <v>161626.42800000001</v>
      </c>
      <c r="S48" s="31">
        <f t="shared" si="36"/>
        <v>157680</v>
      </c>
      <c r="T48" s="38">
        <v>0.09</v>
      </c>
      <c r="U48" s="31">
        <f t="shared" si="37"/>
        <v>80813.214000000007</v>
      </c>
      <c r="V48" s="30"/>
      <c r="W48" s="30"/>
      <c r="X48" s="30"/>
      <c r="Y48" s="30">
        <v>25</v>
      </c>
      <c r="Z48" s="30"/>
      <c r="AA48" s="30">
        <v>53</v>
      </c>
      <c r="AB48" s="31">
        <f t="shared" si="38"/>
        <v>0</v>
      </c>
      <c r="AC48" s="31">
        <f t="shared" si="39"/>
        <v>0</v>
      </c>
      <c r="AD48" s="31">
        <f t="shared" si="40"/>
        <v>2409</v>
      </c>
      <c r="AE48" s="31">
        <f t="shared" si="47"/>
        <v>1323198</v>
      </c>
      <c r="AF48" s="30">
        <f t="shared" si="41"/>
        <v>232140</v>
      </c>
      <c r="AG48" s="31">
        <f t="shared" si="42"/>
        <v>1323198</v>
      </c>
      <c r="AH48" s="30"/>
      <c r="AI48" s="30">
        <v>5.7</v>
      </c>
      <c r="AJ48" s="30">
        <v>2.1999999999999999E-2</v>
      </c>
      <c r="AK48" s="30"/>
      <c r="AL48" s="30"/>
      <c r="AM48" s="30"/>
      <c r="AN48" s="30" t="s">
        <v>107</v>
      </c>
      <c r="AO48" s="30">
        <v>10.608000000000001</v>
      </c>
      <c r="AP48" s="30">
        <v>1800</v>
      </c>
      <c r="AQ48" s="30"/>
      <c r="AR48" s="30" t="s">
        <v>84</v>
      </c>
      <c r="AS48" s="30"/>
      <c r="AT48" s="30"/>
      <c r="AU48" s="30" t="s">
        <v>46</v>
      </c>
      <c r="AV48" s="30" t="s">
        <v>55</v>
      </c>
      <c r="AW48" s="30"/>
      <c r="AX48" s="30" t="s">
        <v>55</v>
      </c>
      <c r="AY48" s="30"/>
      <c r="AZ48" s="30">
        <v>1</v>
      </c>
      <c r="BA48" s="30" t="s">
        <v>82</v>
      </c>
      <c r="BB48" s="30"/>
      <c r="BC48" s="30">
        <v>100</v>
      </c>
      <c r="BD48" s="30"/>
      <c r="BE48" s="30"/>
      <c r="BF48" s="30">
        <v>180</v>
      </c>
      <c r="BG48" s="30">
        <f t="shared" si="43"/>
        <v>2160</v>
      </c>
      <c r="BH48" s="30"/>
      <c r="BI48" s="30"/>
      <c r="BJ48" s="30">
        <f t="shared" si="44"/>
        <v>788400</v>
      </c>
      <c r="BK48" s="30">
        <v>8</v>
      </c>
      <c r="BL48" s="30">
        <v>8</v>
      </c>
      <c r="BM48" s="30">
        <v>4.3</v>
      </c>
      <c r="BN48" s="30">
        <v>6.3</v>
      </c>
      <c r="BO48" s="35">
        <f t="shared" si="45"/>
        <v>6.7666666666666666</v>
      </c>
      <c r="BP48" s="32">
        <f t="shared" si="46"/>
        <v>1.0738333333333334</v>
      </c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</row>
    <row r="49" spans="1:81" ht="45">
      <c r="A49" s="58" t="s">
        <v>21</v>
      </c>
      <c r="B49" s="58" t="s">
        <v>315</v>
      </c>
      <c r="C49" s="29" t="s">
        <v>223</v>
      </c>
      <c r="D49" s="30">
        <v>90</v>
      </c>
      <c r="E49" s="31">
        <f t="shared" si="24"/>
        <v>635000</v>
      </c>
      <c r="F49" s="32">
        <f t="shared" si="25"/>
        <v>2.3680535156863263</v>
      </c>
      <c r="G49" s="33">
        <f t="shared" si="26"/>
        <v>141.10892955837812</v>
      </c>
      <c r="H49" s="34">
        <f t="shared" si="27"/>
        <v>0.10557193844816601</v>
      </c>
      <c r="I49" s="35">
        <f t="shared" si="28"/>
        <v>2.5</v>
      </c>
      <c r="J49" s="36">
        <f t="shared" si="29"/>
        <v>141.10892955837812</v>
      </c>
      <c r="K49" s="32">
        <f t="shared" si="30"/>
        <v>2.3680535156863263</v>
      </c>
      <c r="L49" s="34">
        <f t="shared" si="31"/>
        <v>9.9144096210517466E-2</v>
      </c>
      <c r="M49" s="32">
        <f t="shared" si="32"/>
        <v>2.5215823186199899</v>
      </c>
      <c r="N49" s="31">
        <v>635000</v>
      </c>
      <c r="O49" s="31">
        <f>N49*0.9</f>
        <v>571500</v>
      </c>
      <c r="P49" s="31">
        <f t="shared" si="33"/>
        <v>686621.20000000007</v>
      </c>
      <c r="Q49" s="37">
        <f t="shared" si="34"/>
        <v>603250</v>
      </c>
      <c r="R49" s="31">
        <f t="shared" si="35"/>
        <v>108585</v>
      </c>
      <c r="S49" s="31">
        <f t="shared" si="36"/>
        <v>78840</v>
      </c>
      <c r="T49" s="38">
        <v>0.1</v>
      </c>
      <c r="U49" s="31">
        <f t="shared" si="37"/>
        <v>60325</v>
      </c>
      <c r="V49" s="30"/>
      <c r="W49" s="30"/>
      <c r="X49" s="30">
        <v>3.8</v>
      </c>
      <c r="Y49" s="30">
        <v>5</v>
      </c>
      <c r="Z49" s="30"/>
      <c r="AA49" s="30">
        <v>2.4</v>
      </c>
      <c r="AB49" s="31">
        <f t="shared" si="38"/>
        <v>0</v>
      </c>
      <c r="AC49" s="31">
        <f t="shared" si="39"/>
        <v>565896</v>
      </c>
      <c r="AD49" s="31">
        <f t="shared" si="40"/>
        <v>481.79999999999995</v>
      </c>
      <c r="AE49" s="31">
        <f t="shared" si="47"/>
        <v>59918.400000000001</v>
      </c>
      <c r="AF49" s="30">
        <f t="shared" si="41"/>
        <v>10512</v>
      </c>
      <c r="AG49" s="31">
        <f t="shared" si="42"/>
        <v>59918.400000000001</v>
      </c>
      <c r="AH49" s="30"/>
      <c r="AI49" s="30">
        <v>5.7</v>
      </c>
      <c r="AJ49" s="30">
        <v>2.1999999999999999E-2</v>
      </c>
      <c r="AK49" s="30">
        <v>34</v>
      </c>
      <c r="AL49" s="30"/>
      <c r="AM49" s="30"/>
      <c r="AN49" s="30" t="s">
        <v>317</v>
      </c>
      <c r="AO49" s="30">
        <v>4.7652975</v>
      </c>
      <c r="AP49" s="30">
        <v>900</v>
      </c>
      <c r="AQ49" s="30"/>
      <c r="AR49" s="30"/>
      <c r="AS49" s="30"/>
      <c r="AT49" s="30"/>
      <c r="AU49" s="30" t="s">
        <v>60</v>
      </c>
      <c r="AV49" s="30"/>
      <c r="AW49" s="30"/>
      <c r="AX49" s="30"/>
      <c r="AY49" s="30"/>
      <c r="AZ49" s="30"/>
      <c r="BA49" s="30" t="s">
        <v>320</v>
      </c>
      <c r="BB49" s="30">
        <v>4.8600000000000003</v>
      </c>
      <c r="BC49" s="30"/>
      <c r="BD49" s="30"/>
      <c r="BE49" s="30"/>
      <c r="BF49" s="30">
        <v>90</v>
      </c>
      <c r="BG49" s="30">
        <f t="shared" si="43"/>
        <v>1080</v>
      </c>
      <c r="BH49" s="30">
        <v>108</v>
      </c>
      <c r="BI49" s="30">
        <v>216</v>
      </c>
      <c r="BJ49" s="30">
        <f t="shared" si="44"/>
        <v>394200</v>
      </c>
      <c r="BK49" s="30">
        <v>7</v>
      </c>
      <c r="BL49" s="30">
        <v>7</v>
      </c>
      <c r="BM49" s="30">
        <v>3.9</v>
      </c>
      <c r="BN49" s="30">
        <v>28.4</v>
      </c>
      <c r="BO49" s="35">
        <f t="shared" si="45"/>
        <v>5.9666666666666659</v>
      </c>
      <c r="BP49" s="32">
        <f t="shared" si="46"/>
        <v>1.0648333333333333</v>
      </c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</row>
    <row r="50" spans="1:81" ht="45">
      <c r="A50" s="58" t="s">
        <v>30</v>
      </c>
      <c r="B50" s="58" t="s">
        <v>225</v>
      </c>
      <c r="C50" s="29" t="s">
        <v>223</v>
      </c>
      <c r="D50" s="30">
        <v>150</v>
      </c>
      <c r="E50" s="31">
        <f t="shared" si="24"/>
        <v>1713290</v>
      </c>
      <c r="F50" s="32">
        <f t="shared" si="25"/>
        <v>2.3708805779652957</v>
      </c>
      <c r="G50" s="33">
        <f t="shared" si="26"/>
        <v>239.57978041028821</v>
      </c>
      <c r="H50" s="34">
        <f t="shared" si="27"/>
        <v>0.10544605338770438</v>
      </c>
      <c r="I50" s="35">
        <f t="shared" si="28"/>
        <v>2.5</v>
      </c>
      <c r="J50" s="36">
        <f t="shared" si="29"/>
        <v>239.57978041028821</v>
      </c>
      <c r="K50" s="32">
        <f t="shared" si="30"/>
        <v>2.3708805779652957</v>
      </c>
      <c r="L50" s="34">
        <f t="shared" si="31"/>
        <v>9.6754292755195939E-2</v>
      </c>
      <c r="M50" s="32">
        <f t="shared" si="32"/>
        <v>2.5838646832191783</v>
      </c>
      <c r="N50" s="31">
        <v>1713290</v>
      </c>
      <c r="O50" s="31">
        <f>N50*0.95</f>
        <v>1627625.5</v>
      </c>
      <c r="P50" s="31">
        <f t="shared" si="33"/>
        <v>1057396.8825000001</v>
      </c>
      <c r="Q50" s="37">
        <f t="shared" si="34"/>
        <v>1670457.75</v>
      </c>
      <c r="R50" s="31">
        <f t="shared" si="35"/>
        <v>300682.39499999996</v>
      </c>
      <c r="S50" s="31">
        <f t="shared" si="36"/>
        <v>131400</v>
      </c>
      <c r="T50" s="38">
        <v>7.0000000000000007E-2</v>
      </c>
      <c r="U50" s="31">
        <f t="shared" si="37"/>
        <v>116932.04250000001</v>
      </c>
      <c r="V50" s="30"/>
      <c r="W50" s="30"/>
      <c r="X50" s="30">
        <v>5.8</v>
      </c>
      <c r="Y50" s="30">
        <v>19</v>
      </c>
      <c r="Z50" s="30"/>
      <c r="AA50" s="30">
        <v>3</v>
      </c>
      <c r="AB50" s="31">
        <f t="shared" si="38"/>
        <v>0</v>
      </c>
      <c r="AC50" s="31">
        <f t="shared" si="39"/>
        <v>863736</v>
      </c>
      <c r="AD50" s="31">
        <f t="shared" si="40"/>
        <v>1830.84</v>
      </c>
      <c r="AE50" s="31">
        <f t="shared" si="47"/>
        <v>74898</v>
      </c>
      <c r="AF50" s="30">
        <f t="shared" si="41"/>
        <v>13140</v>
      </c>
      <c r="AG50" s="31">
        <f t="shared" si="42"/>
        <v>74898</v>
      </c>
      <c r="AH50" s="30"/>
      <c r="AI50" s="30">
        <v>5.7</v>
      </c>
      <c r="AJ50" s="30">
        <v>2.1999999999999999E-2</v>
      </c>
      <c r="AK50" s="30">
        <v>34</v>
      </c>
      <c r="AL50" s="30"/>
      <c r="AM50" s="30"/>
      <c r="AN50" s="30" t="s">
        <v>180</v>
      </c>
      <c r="AO50" s="30">
        <v>8.83779</v>
      </c>
      <c r="AP50" s="30">
        <v>1700</v>
      </c>
      <c r="AQ50" s="30"/>
      <c r="AR50" s="30">
        <v>52.2</v>
      </c>
      <c r="AS50" s="30" t="s">
        <v>55</v>
      </c>
      <c r="AT50" s="30"/>
      <c r="AU50" s="30" t="s">
        <v>164</v>
      </c>
      <c r="AV50" s="30">
        <v>15</v>
      </c>
      <c r="AW50" s="30" t="s">
        <v>55</v>
      </c>
      <c r="AX50" s="30" t="s">
        <v>55</v>
      </c>
      <c r="AY50" s="30"/>
      <c r="AZ50" s="30">
        <v>1</v>
      </c>
      <c r="BA50" s="30" t="s">
        <v>16</v>
      </c>
      <c r="BB50" s="30">
        <v>9.6</v>
      </c>
      <c r="BC50" s="30">
        <v>250</v>
      </c>
      <c r="BD50" s="30"/>
      <c r="BE50" s="30"/>
      <c r="BF50" s="30">
        <v>150</v>
      </c>
      <c r="BG50" s="30">
        <f t="shared" si="43"/>
        <v>1800</v>
      </c>
      <c r="BH50" s="30"/>
      <c r="BI50" s="30"/>
      <c r="BJ50" s="30">
        <f t="shared" si="44"/>
        <v>657000</v>
      </c>
      <c r="BK50" s="30">
        <v>10</v>
      </c>
      <c r="BL50" s="30">
        <v>9</v>
      </c>
      <c r="BM50" s="30">
        <v>4.9000000000000004</v>
      </c>
      <c r="BN50" s="30">
        <v>11.9</v>
      </c>
      <c r="BO50" s="35">
        <f t="shared" si="45"/>
        <v>7.9666666666666659</v>
      </c>
      <c r="BP50" s="32">
        <f t="shared" si="46"/>
        <v>1.0898333333333334</v>
      </c>
      <c r="BQ50" s="30" t="s">
        <v>27</v>
      </c>
      <c r="BR50" s="30" t="s">
        <v>31</v>
      </c>
      <c r="BS50" s="30" t="s">
        <v>169</v>
      </c>
      <c r="BT50" s="30"/>
      <c r="BU50" s="30" t="s">
        <v>169</v>
      </c>
      <c r="BV50" s="30"/>
      <c r="BW50" s="30"/>
      <c r="BX50" s="30"/>
      <c r="BY50" s="30"/>
      <c r="BZ50" s="30"/>
      <c r="CA50" s="30"/>
      <c r="CB50" s="30"/>
      <c r="CC50" s="30"/>
    </row>
    <row r="51" spans="1:81" ht="45">
      <c r="A51" s="60" t="s">
        <v>367</v>
      </c>
      <c r="B51" s="60" t="s">
        <v>363</v>
      </c>
      <c r="C51" s="29" t="s">
        <v>245</v>
      </c>
      <c r="D51" s="29">
        <v>180</v>
      </c>
      <c r="E51" s="31">
        <f t="shared" si="24"/>
        <v>1070000</v>
      </c>
      <c r="F51" s="32">
        <f t="shared" si="25"/>
        <v>2.3769919143426335</v>
      </c>
      <c r="G51" s="33">
        <f t="shared" si="26"/>
        <v>120.81409959103065</v>
      </c>
      <c r="H51" s="34">
        <f t="shared" si="27"/>
        <v>0.10517494758459811</v>
      </c>
      <c r="I51" s="35">
        <f t="shared" si="28"/>
        <v>2.5</v>
      </c>
      <c r="J51" s="36">
        <f t="shared" si="29"/>
        <v>120.81409959103065</v>
      </c>
      <c r="K51" s="32">
        <f t="shared" si="30"/>
        <v>2.3769919143426335</v>
      </c>
      <c r="L51" s="34">
        <f t="shared" si="31"/>
        <v>9.7943455767125348E-2</v>
      </c>
      <c r="M51" s="32">
        <f t="shared" si="32"/>
        <v>2.5524931506849313</v>
      </c>
      <c r="N51" s="40">
        <v>1070000</v>
      </c>
      <c r="O51" s="30">
        <f>N51*0.8</f>
        <v>856000</v>
      </c>
      <c r="P51" s="31">
        <f t="shared" si="33"/>
        <v>1436568.48</v>
      </c>
      <c r="Q51" s="37">
        <f t="shared" si="34"/>
        <v>963000</v>
      </c>
      <c r="R51" s="31">
        <f t="shared" si="35"/>
        <v>173340</v>
      </c>
      <c r="S51" s="31">
        <f t="shared" si="36"/>
        <v>157680</v>
      </c>
      <c r="T51" s="38">
        <v>0.09</v>
      </c>
      <c r="U51" s="31">
        <f t="shared" si="37"/>
        <v>86670</v>
      </c>
      <c r="V51" s="30"/>
      <c r="W51" s="30"/>
      <c r="X51" s="30"/>
      <c r="Y51" s="30">
        <v>18</v>
      </c>
      <c r="Z51" s="30"/>
      <c r="AA51" s="30">
        <v>54</v>
      </c>
      <c r="AB51" s="31">
        <f t="shared" si="38"/>
        <v>0</v>
      </c>
      <c r="AC51" s="31">
        <f t="shared" si="39"/>
        <v>0</v>
      </c>
      <c r="AD51" s="31">
        <f t="shared" si="40"/>
        <v>1734.4799999999998</v>
      </c>
      <c r="AE51" s="31">
        <f t="shared" si="47"/>
        <v>1348164</v>
      </c>
      <c r="AF51" s="30">
        <f t="shared" si="41"/>
        <v>236520</v>
      </c>
      <c r="AG51" s="31">
        <f t="shared" si="42"/>
        <v>1348164</v>
      </c>
      <c r="AH51" s="30"/>
      <c r="AI51" s="30">
        <v>5.7</v>
      </c>
      <c r="AJ51" s="30">
        <v>2.1999999999999999E-2</v>
      </c>
      <c r="AK51" s="30"/>
      <c r="AL51" s="30">
        <v>6</v>
      </c>
      <c r="AM51" s="30"/>
      <c r="AN51" s="41" t="s">
        <v>368</v>
      </c>
      <c r="AO51" s="30">
        <v>6.11</v>
      </c>
      <c r="AP51" s="30">
        <v>1600</v>
      </c>
      <c r="AQ51" s="30"/>
      <c r="AR51" s="30">
        <v>58</v>
      </c>
      <c r="AS51" s="30"/>
      <c r="AT51" s="30"/>
      <c r="AU51" s="30" t="s">
        <v>56</v>
      </c>
      <c r="AV51" s="30"/>
      <c r="AW51" s="30"/>
      <c r="AX51" s="30"/>
      <c r="AY51" s="30">
        <v>18</v>
      </c>
      <c r="AZ51" s="30">
        <v>1</v>
      </c>
      <c r="BA51" s="30" t="s">
        <v>16</v>
      </c>
      <c r="BB51" s="30"/>
      <c r="BC51" s="30"/>
      <c r="BD51" s="30"/>
      <c r="BE51" s="30"/>
      <c r="BF51" s="30">
        <v>180</v>
      </c>
      <c r="BG51" s="30">
        <f t="shared" si="43"/>
        <v>2160</v>
      </c>
      <c r="BH51" s="30">
        <v>416</v>
      </c>
      <c r="BI51" s="30">
        <v>833</v>
      </c>
      <c r="BJ51" s="30">
        <f t="shared" si="44"/>
        <v>788400</v>
      </c>
      <c r="BK51" s="30">
        <v>8</v>
      </c>
      <c r="BL51" s="30">
        <v>8</v>
      </c>
      <c r="BM51" s="30">
        <v>4.3</v>
      </c>
      <c r="BN51" s="30">
        <v>6.3</v>
      </c>
      <c r="BO51" s="35">
        <f t="shared" si="45"/>
        <v>6.7666666666666666</v>
      </c>
      <c r="BP51" s="32">
        <f t="shared" si="46"/>
        <v>1.0738333333333334</v>
      </c>
      <c r="BQ51" s="30" t="s">
        <v>305</v>
      </c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</row>
    <row r="52" spans="1:81" ht="45">
      <c r="A52" s="58" t="s">
        <v>21</v>
      </c>
      <c r="B52" s="58" t="s">
        <v>99</v>
      </c>
      <c r="C52" s="29" t="s">
        <v>223</v>
      </c>
      <c r="D52" s="30">
        <v>180</v>
      </c>
      <c r="E52" s="31">
        <f t="shared" si="24"/>
        <v>975000</v>
      </c>
      <c r="F52" s="32">
        <f t="shared" si="25"/>
        <v>2.3795803253451457</v>
      </c>
      <c r="G52" s="33">
        <f t="shared" si="26"/>
        <v>118.70137934229399</v>
      </c>
      <c r="H52" s="34">
        <f t="shared" si="27"/>
        <v>0.10506054254072669</v>
      </c>
      <c r="I52" s="35">
        <f t="shared" si="28"/>
        <v>2.5</v>
      </c>
      <c r="J52" s="36">
        <f t="shared" si="29"/>
        <v>118.70137934229399</v>
      </c>
      <c r="K52" s="32">
        <f t="shared" si="30"/>
        <v>2.3795803253451457</v>
      </c>
      <c r="L52" s="34">
        <f t="shared" si="31"/>
        <v>9.8663837101950258E-2</v>
      </c>
      <c r="M52" s="32">
        <f t="shared" si="32"/>
        <v>2.5338564497716898</v>
      </c>
      <c r="N52" s="31">
        <v>975000</v>
      </c>
      <c r="O52" s="31">
        <f>N52*0.9</f>
        <v>877500</v>
      </c>
      <c r="P52" s="31">
        <f t="shared" si="33"/>
        <v>1431428.9400000002</v>
      </c>
      <c r="Q52" s="37">
        <f t="shared" si="34"/>
        <v>926250</v>
      </c>
      <c r="R52" s="31">
        <f t="shared" si="35"/>
        <v>166725</v>
      </c>
      <c r="S52" s="31">
        <f t="shared" si="36"/>
        <v>157680</v>
      </c>
      <c r="T52" s="38">
        <v>0.1</v>
      </c>
      <c r="U52" s="31">
        <f t="shared" si="37"/>
        <v>92625</v>
      </c>
      <c r="V52" s="30"/>
      <c r="W52" s="30"/>
      <c r="X52" s="30">
        <v>8.5</v>
      </c>
      <c r="Y52" s="30">
        <v>19</v>
      </c>
      <c r="Z52" s="30"/>
      <c r="AA52" s="30">
        <v>2.85</v>
      </c>
      <c r="AB52" s="31">
        <f t="shared" si="38"/>
        <v>0</v>
      </c>
      <c r="AC52" s="31">
        <f t="shared" si="39"/>
        <v>1265820</v>
      </c>
      <c r="AD52" s="31">
        <f t="shared" si="40"/>
        <v>1830.84</v>
      </c>
      <c r="AE52" s="31">
        <f t="shared" si="47"/>
        <v>71153.100000000006</v>
      </c>
      <c r="AF52" s="30">
        <f t="shared" si="41"/>
        <v>12483</v>
      </c>
      <c r="AG52" s="31">
        <f t="shared" si="42"/>
        <v>71153.100000000006</v>
      </c>
      <c r="AH52" s="30"/>
      <c r="AI52" s="30">
        <v>5.7</v>
      </c>
      <c r="AJ52" s="30">
        <v>2.1999999999999999E-2</v>
      </c>
      <c r="AK52" s="30">
        <v>34</v>
      </c>
      <c r="AL52" s="30"/>
      <c r="AM52" s="30"/>
      <c r="AN52" s="30" t="s">
        <v>111</v>
      </c>
      <c r="AO52" s="30">
        <v>11.506567799999999</v>
      </c>
      <c r="AP52" s="30">
        <v>1650</v>
      </c>
      <c r="AQ52" s="30"/>
      <c r="AR52" s="30">
        <v>75</v>
      </c>
      <c r="AS52" s="30"/>
      <c r="AT52" s="30"/>
      <c r="AU52" s="30" t="s">
        <v>60</v>
      </c>
      <c r="AV52" s="30"/>
      <c r="AW52" s="30" t="s">
        <v>65</v>
      </c>
      <c r="AX52" s="30" t="s">
        <v>23</v>
      </c>
      <c r="AY52" s="30">
        <v>24</v>
      </c>
      <c r="AZ52" s="30">
        <v>1</v>
      </c>
      <c r="BA52" s="30" t="s">
        <v>97</v>
      </c>
      <c r="BB52" s="30">
        <v>10.8</v>
      </c>
      <c r="BC52" s="30">
        <v>100</v>
      </c>
      <c r="BD52" s="30"/>
      <c r="BE52" s="30"/>
      <c r="BF52" s="30">
        <v>180</v>
      </c>
      <c r="BG52" s="30">
        <f t="shared" si="43"/>
        <v>2160</v>
      </c>
      <c r="BH52" s="30">
        <v>252</v>
      </c>
      <c r="BI52" s="30">
        <v>504</v>
      </c>
      <c r="BJ52" s="30">
        <f t="shared" si="44"/>
        <v>788400</v>
      </c>
      <c r="BK52" s="30">
        <v>7</v>
      </c>
      <c r="BL52" s="30">
        <v>7</v>
      </c>
      <c r="BM52" s="30">
        <v>3.9</v>
      </c>
      <c r="BN52" s="30">
        <v>28.4</v>
      </c>
      <c r="BO52" s="35">
        <f t="shared" si="45"/>
        <v>5.9666666666666659</v>
      </c>
      <c r="BP52" s="32">
        <f t="shared" si="46"/>
        <v>1.0648333333333333</v>
      </c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</row>
    <row r="53" spans="1:81" ht="45">
      <c r="A53" s="58" t="s">
        <v>34</v>
      </c>
      <c r="B53" s="58" t="s">
        <v>49</v>
      </c>
      <c r="C53" s="29" t="s">
        <v>223</v>
      </c>
      <c r="D53" s="30">
        <v>120</v>
      </c>
      <c r="E53" s="31">
        <f t="shared" si="24"/>
        <v>2128663.2599999998</v>
      </c>
      <c r="F53" s="32">
        <f t="shared" si="25"/>
        <v>2.3981777489515985</v>
      </c>
      <c r="G53" s="33">
        <f t="shared" si="26"/>
        <v>466.9902754349535</v>
      </c>
      <c r="H53" s="34">
        <f t="shared" si="27"/>
        <v>0.10424581752094544</v>
      </c>
      <c r="I53" s="35">
        <f t="shared" si="28"/>
        <v>2.5</v>
      </c>
      <c r="J53" s="36">
        <f t="shared" si="29"/>
        <v>466.9902754349535</v>
      </c>
      <c r="K53" s="32">
        <f t="shared" si="30"/>
        <v>2.3981777489515985</v>
      </c>
      <c r="L53" s="34">
        <f t="shared" si="31"/>
        <v>9.5667620851280624E-2</v>
      </c>
      <c r="M53" s="32">
        <f t="shared" si="32"/>
        <v>2.613214353774258</v>
      </c>
      <c r="N53" s="31">
        <v>2128663.2599999998</v>
      </c>
      <c r="O53" s="31">
        <f>N53*0.93</f>
        <v>1979656.8317999998</v>
      </c>
      <c r="P53" s="31">
        <f t="shared" si="33"/>
        <v>729055.56321299996</v>
      </c>
      <c r="Q53" s="37">
        <f t="shared" si="34"/>
        <v>2054160.0458999998</v>
      </c>
      <c r="R53" s="31">
        <f t="shared" si="35"/>
        <v>369748.80826199998</v>
      </c>
      <c r="S53" s="31">
        <f t="shared" si="36"/>
        <v>105120</v>
      </c>
      <c r="T53" s="38">
        <v>7.0000000000000007E-2</v>
      </c>
      <c r="U53" s="31">
        <f t="shared" si="37"/>
        <v>143791.203213</v>
      </c>
      <c r="V53" s="30"/>
      <c r="W53" s="30"/>
      <c r="X53" s="30">
        <v>3.4</v>
      </c>
      <c r="Y53" s="30">
        <v>16</v>
      </c>
      <c r="Z53" s="30"/>
      <c r="AA53" s="30">
        <v>3.1</v>
      </c>
      <c r="AB53" s="31">
        <f t="shared" si="38"/>
        <v>0</v>
      </c>
      <c r="AC53" s="31">
        <f t="shared" si="39"/>
        <v>506328</v>
      </c>
      <c r="AD53" s="31">
        <f t="shared" si="40"/>
        <v>1541.76</v>
      </c>
      <c r="AE53" s="31">
        <f t="shared" si="47"/>
        <v>77394.600000000006</v>
      </c>
      <c r="AF53" s="30">
        <f t="shared" si="41"/>
        <v>13578</v>
      </c>
      <c r="AG53" s="31">
        <f t="shared" si="42"/>
        <v>77394.600000000006</v>
      </c>
      <c r="AH53" s="30"/>
      <c r="AI53" s="30">
        <v>5.7</v>
      </c>
      <c r="AJ53" s="30">
        <v>2.1999999999999999E-2</v>
      </c>
      <c r="AK53" s="30">
        <v>34</v>
      </c>
      <c r="AL53" s="30"/>
      <c r="AM53" s="30"/>
      <c r="AN53" s="30" t="s">
        <v>50</v>
      </c>
      <c r="AO53" s="30">
        <v>8.3894428800000007</v>
      </c>
      <c r="AP53" s="30">
        <v>1265</v>
      </c>
      <c r="AQ53" s="30"/>
      <c r="AR53" s="30">
        <v>80</v>
      </c>
      <c r="AS53" s="30" t="s">
        <v>26</v>
      </c>
      <c r="AT53" s="30"/>
      <c r="AU53" s="30" t="s">
        <v>221</v>
      </c>
      <c r="AV53" s="30">
        <v>16</v>
      </c>
      <c r="AW53" s="30" t="s">
        <v>26</v>
      </c>
      <c r="AX53" s="30" t="s">
        <v>26</v>
      </c>
      <c r="AY53" s="30"/>
      <c r="AZ53" s="30">
        <v>1</v>
      </c>
      <c r="BA53" s="30" t="s">
        <v>16</v>
      </c>
      <c r="BB53" s="30">
        <v>9</v>
      </c>
      <c r="BC53" s="30">
        <v>100</v>
      </c>
      <c r="BD53" s="30"/>
      <c r="BE53" s="30"/>
      <c r="BF53" s="30">
        <v>120</v>
      </c>
      <c r="BG53" s="30">
        <f t="shared" si="43"/>
        <v>1440</v>
      </c>
      <c r="BH53" s="30"/>
      <c r="BI53" s="30"/>
      <c r="BJ53" s="30">
        <f t="shared" si="44"/>
        <v>525600</v>
      </c>
      <c r="BK53" s="30">
        <v>10</v>
      </c>
      <c r="BL53" s="30">
        <v>9</v>
      </c>
      <c r="BM53" s="30">
        <v>4.8</v>
      </c>
      <c r="BN53" s="30">
        <v>9</v>
      </c>
      <c r="BO53" s="35">
        <f t="shared" si="45"/>
        <v>7.9333333333333336</v>
      </c>
      <c r="BP53" s="32">
        <f t="shared" si="46"/>
        <v>1.0896666666666666</v>
      </c>
      <c r="BQ53" s="30" t="s">
        <v>27</v>
      </c>
      <c r="BR53" s="30" t="s">
        <v>171</v>
      </c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</row>
    <row r="54" spans="1:81" ht="45">
      <c r="A54" s="58" t="s">
        <v>34</v>
      </c>
      <c r="B54" s="58" t="s">
        <v>92</v>
      </c>
      <c r="C54" s="29" t="s">
        <v>223</v>
      </c>
      <c r="D54" s="30">
        <v>150</v>
      </c>
      <c r="E54" s="31">
        <f t="shared" si="24"/>
        <v>2500000</v>
      </c>
      <c r="F54" s="32">
        <f t="shared" si="25"/>
        <v>2.4401634421038372</v>
      </c>
      <c r="G54" s="33">
        <f t="shared" si="26"/>
        <v>746.63261886578016</v>
      </c>
      <c r="H54" s="34">
        <f t="shared" si="27"/>
        <v>0.10245215369035172</v>
      </c>
      <c r="I54" s="35">
        <f t="shared" si="28"/>
        <v>2.5</v>
      </c>
      <c r="J54" s="36">
        <f t="shared" si="29"/>
        <v>746.63261886578016</v>
      </c>
      <c r="K54" s="32">
        <f t="shared" si="30"/>
        <v>2.4401634421038372</v>
      </c>
      <c r="L54" s="34">
        <f t="shared" si="31"/>
        <v>9.4021554319686521E-2</v>
      </c>
      <c r="M54" s="32">
        <f t="shared" si="32"/>
        <v>2.6589647640791476</v>
      </c>
      <c r="N54" s="31">
        <v>2500000</v>
      </c>
      <c r="O54" s="31">
        <f>N54*0.93</f>
        <v>2325000</v>
      </c>
      <c r="P54" s="31">
        <f t="shared" si="33"/>
        <v>963301.88</v>
      </c>
      <c r="Q54" s="37">
        <f t="shared" si="34"/>
        <v>2412500</v>
      </c>
      <c r="R54" s="31">
        <f t="shared" si="35"/>
        <v>434250</v>
      </c>
      <c r="S54" s="31">
        <f t="shared" si="36"/>
        <v>131400</v>
      </c>
      <c r="T54" s="38">
        <v>7.0000000000000007E-2</v>
      </c>
      <c r="U54" s="31">
        <f t="shared" si="37"/>
        <v>168875.00000000003</v>
      </c>
      <c r="V54" s="30"/>
      <c r="W54" s="30"/>
      <c r="X54" s="30">
        <v>4.8</v>
      </c>
      <c r="Y54" s="30">
        <v>23</v>
      </c>
      <c r="Z54" s="30"/>
      <c r="AA54" s="30">
        <v>3.1</v>
      </c>
      <c r="AB54" s="31">
        <f t="shared" si="38"/>
        <v>0</v>
      </c>
      <c r="AC54" s="31">
        <f t="shared" si="39"/>
        <v>714816</v>
      </c>
      <c r="AD54" s="31">
        <f t="shared" si="40"/>
        <v>2216.2799999999997</v>
      </c>
      <c r="AE54" s="31">
        <f t="shared" si="47"/>
        <v>77394.600000000006</v>
      </c>
      <c r="AF54" s="30">
        <f t="shared" si="41"/>
        <v>13578</v>
      </c>
      <c r="AG54" s="31">
        <f t="shared" si="42"/>
        <v>77394.600000000006</v>
      </c>
      <c r="AH54" s="30"/>
      <c r="AI54" s="30">
        <v>5.7</v>
      </c>
      <c r="AJ54" s="30">
        <v>2.1999999999999999E-2</v>
      </c>
      <c r="AK54" s="30">
        <v>34</v>
      </c>
      <c r="AL54" s="30"/>
      <c r="AM54" s="30"/>
      <c r="AN54" s="30" t="s">
        <v>95</v>
      </c>
      <c r="AO54" s="30">
        <v>11.611953359999999</v>
      </c>
      <c r="AP54" s="30">
        <v>1840</v>
      </c>
      <c r="AQ54" s="30"/>
      <c r="AR54" s="30">
        <v>100</v>
      </c>
      <c r="AS54" s="30"/>
      <c r="AT54" s="30"/>
      <c r="AU54" s="30" t="s">
        <v>94</v>
      </c>
      <c r="AV54" s="30"/>
      <c r="AW54" s="30"/>
      <c r="AX54" s="30"/>
      <c r="AY54" s="30"/>
      <c r="AZ54" s="30">
        <v>1</v>
      </c>
      <c r="BA54" s="30" t="s">
        <v>93</v>
      </c>
      <c r="BB54" s="30">
        <v>14</v>
      </c>
      <c r="BC54" s="30">
        <v>500</v>
      </c>
      <c r="BD54" s="30"/>
      <c r="BE54" s="30"/>
      <c r="BF54" s="30">
        <v>150</v>
      </c>
      <c r="BG54" s="30">
        <f t="shared" si="43"/>
        <v>1800</v>
      </c>
      <c r="BH54" s="30"/>
      <c r="BI54" s="30"/>
      <c r="BJ54" s="30">
        <f t="shared" si="44"/>
        <v>657000</v>
      </c>
      <c r="BK54" s="30">
        <v>10</v>
      </c>
      <c r="BL54" s="30">
        <v>9</v>
      </c>
      <c r="BM54" s="30">
        <v>4.8</v>
      </c>
      <c r="BN54" s="30">
        <v>9</v>
      </c>
      <c r="BO54" s="35">
        <f t="shared" si="45"/>
        <v>7.9333333333333336</v>
      </c>
      <c r="BP54" s="32">
        <f t="shared" si="46"/>
        <v>1.0896666666666666</v>
      </c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</row>
    <row r="55" spans="1:81" ht="45">
      <c r="A55" s="58" t="s">
        <v>141</v>
      </c>
      <c r="B55" s="58" t="s">
        <v>145</v>
      </c>
      <c r="C55" s="29" t="s">
        <v>223</v>
      </c>
      <c r="D55" s="30">
        <v>160</v>
      </c>
      <c r="E55" s="31">
        <f t="shared" si="24"/>
        <v>1250576</v>
      </c>
      <c r="F55" s="32">
        <f t="shared" si="25"/>
        <v>2.5019589195603955</v>
      </c>
      <c r="G55" s="33">
        <f t="shared" si="26"/>
        <v>10573.764678656591</v>
      </c>
      <c r="H55" s="34">
        <f t="shared" si="27"/>
        <v>9.9921704567365974E-2</v>
      </c>
      <c r="I55" s="35">
        <f t="shared" si="28"/>
        <v>2.5</v>
      </c>
      <c r="J55" s="36">
        <f t="shared" si="29"/>
        <v>10573.764678656591</v>
      </c>
      <c r="K55" s="32">
        <f t="shared" si="30"/>
        <v>2.5019589195603955</v>
      </c>
      <c r="L55" s="34">
        <f t="shared" si="31"/>
        <v>9.4907428748487552E-2</v>
      </c>
      <c r="M55" s="32">
        <f t="shared" si="32"/>
        <v>2.634145749143836</v>
      </c>
      <c r="N55" s="31">
        <v>1250576</v>
      </c>
      <c r="O55" s="31">
        <f>N55*0.89</f>
        <v>1113012.6400000001</v>
      </c>
      <c r="P55" s="31">
        <f t="shared" si="33"/>
        <v>1264084.4952000002</v>
      </c>
      <c r="Q55" s="37">
        <f t="shared" si="34"/>
        <v>1181794.32</v>
      </c>
      <c r="R55" s="31">
        <f t="shared" si="35"/>
        <v>212722.97760000001</v>
      </c>
      <c r="S55" s="31">
        <f t="shared" si="36"/>
        <v>140160</v>
      </c>
      <c r="T55" s="38">
        <v>0.11</v>
      </c>
      <c r="U55" s="31">
        <f t="shared" si="37"/>
        <v>129997.37520000001</v>
      </c>
      <c r="V55" s="30"/>
      <c r="W55" s="30"/>
      <c r="X55" s="30">
        <v>6.85</v>
      </c>
      <c r="Y55" s="30">
        <v>17</v>
      </c>
      <c r="Z55" s="30"/>
      <c r="AA55" s="30">
        <v>4.5</v>
      </c>
      <c r="AB55" s="31">
        <f t="shared" si="38"/>
        <v>0</v>
      </c>
      <c r="AC55" s="31">
        <f t="shared" si="39"/>
        <v>1020102</v>
      </c>
      <c r="AD55" s="31">
        <f t="shared" si="40"/>
        <v>1638.12</v>
      </c>
      <c r="AE55" s="31">
        <f t="shared" si="47"/>
        <v>112347</v>
      </c>
      <c r="AF55" s="30">
        <f t="shared" si="41"/>
        <v>19710</v>
      </c>
      <c r="AG55" s="31">
        <f t="shared" si="42"/>
        <v>112347</v>
      </c>
      <c r="AH55" s="30"/>
      <c r="AI55" s="30">
        <v>5.7</v>
      </c>
      <c r="AJ55" s="30">
        <v>2.1999999999999999E-2</v>
      </c>
      <c r="AK55" s="30">
        <v>34</v>
      </c>
      <c r="AL55" s="30"/>
      <c r="AM55" s="30"/>
      <c r="AN55" s="30" t="s">
        <v>139</v>
      </c>
      <c r="AO55" s="30">
        <v>7.7953615000000003</v>
      </c>
      <c r="AP55" s="30">
        <v>2050</v>
      </c>
      <c r="AQ55" s="30"/>
      <c r="AR55" s="30">
        <v>60</v>
      </c>
      <c r="AS55" s="30"/>
      <c r="AT55" s="30"/>
      <c r="AU55" s="30" t="s">
        <v>140</v>
      </c>
      <c r="AV55" s="30">
        <v>22</v>
      </c>
      <c r="AW55" s="30"/>
      <c r="AX55" s="30" t="s">
        <v>142</v>
      </c>
      <c r="AY55" s="30">
        <v>16</v>
      </c>
      <c r="AZ55" s="30">
        <v>1</v>
      </c>
      <c r="BA55" s="30" t="s">
        <v>16</v>
      </c>
      <c r="BB55" s="30" t="s">
        <v>143</v>
      </c>
      <c r="BC55" s="30"/>
      <c r="BD55" s="30"/>
      <c r="BE55" s="30"/>
      <c r="BF55" s="30">
        <v>160</v>
      </c>
      <c r="BG55" s="30">
        <f t="shared" si="43"/>
        <v>1920</v>
      </c>
      <c r="BH55" s="30"/>
      <c r="BI55" s="30"/>
      <c r="BJ55" s="30">
        <f t="shared" si="44"/>
        <v>700800</v>
      </c>
      <c r="BK55" s="30">
        <v>6</v>
      </c>
      <c r="BL55" s="30">
        <v>5</v>
      </c>
      <c r="BM55" s="30">
        <v>2.7</v>
      </c>
      <c r="BN55" s="30">
        <v>1</v>
      </c>
      <c r="BO55" s="35">
        <f t="shared" si="45"/>
        <v>4.5666666666666664</v>
      </c>
      <c r="BP55" s="32">
        <f t="shared" si="46"/>
        <v>1.0528333333333333</v>
      </c>
      <c r="BQ55" s="30" t="s">
        <v>305</v>
      </c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</row>
    <row r="56" spans="1:81" ht="45">
      <c r="A56" s="58" t="s">
        <v>215</v>
      </c>
      <c r="B56" s="58" t="s">
        <v>68</v>
      </c>
      <c r="C56" s="29" t="s">
        <v>245</v>
      </c>
      <c r="D56" s="30">
        <v>135</v>
      </c>
      <c r="E56" s="31">
        <f t="shared" si="24"/>
        <v>651000</v>
      </c>
      <c r="F56" s="32">
        <f t="shared" si="25"/>
        <v>2.5428489694625172</v>
      </c>
      <c r="G56" s="33">
        <f t="shared" si="26"/>
        <v>396.98050621980497</v>
      </c>
      <c r="H56" s="34">
        <f t="shared" si="27"/>
        <v>9.8314922750934189E-2</v>
      </c>
      <c r="I56" s="35">
        <f t="shared" si="28"/>
        <v>2.5</v>
      </c>
      <c r="J56" s="36">
        <f t="shared" si="29"/>
        <v>396.98050621980497</v>
      </c>
      <c r="K56" s="32">
        <f t="shared" si="30"/>
        <v>2.5428489694625172</v>
      </c>
      <c r="L56" s="34">
        <f t="shared" si="31"/>
        <v>9.3797032358976809E-2</v>
      </c>
      <c r="M56" s="32">
        <f t="shared" si="32"/>
        <v>2.6653295281582952</v>
      </c>
      <c r="N56" s="31">
        <v>651000</v>
      </c>
      <c r="O56" s="31">
        <f>N56*0.9</f>
        <v>585900</v>
      </c>
      <c r="P56" s="31">
        <f t="shared" si="33"/>
        <v>1149486.48</v>
      </c>
      <c r="Q56" s="37">
        <f t="shared" si="34"/>
        <v>618450</v>
      </c>
      <c r="R56" s="31">
        <f t="shared" si="35"/>
        <v>111321</v>
      </c>
      <c r="S56" s="31">
        <f t="shared" si="36"/>
        <v>118260</v>
      </c>
      <c r="T56" s="38">
        <v>0.12</v>
      </c>
      <c r="U56" s="31">
        <f t="shared" si="37"/>
        <v>74214</v>
      </c>
      <c r="V56" s="30"/>
      <c r="W56" s="30"/>
      <c r="X56" s="30"/>
      <c r="Y56" s="30">
        <v>18</v>
      </c>
      <c r="Z56" s="30"/>
      <c r="AA56" s="30">
        <v>43</v>
      </c>
      <c r="AB56" s="31">
        <f t="shared" si="38"/>
        <v>0</v>
      </c>
      <c r="AC56" s="31">
        <f t="shared" si="39"/>
        <v>0</v>
      </c>
      <c r="AD56" s="31">
        <f t="shared" si="40"/>
        <v>1734.4799999999998</v>
      </c>
      <c r="AE56" s="31">
        <f t="shared" si="47"/>
        <v>1073538</v>
      </c>
      <c r="AF56" s="30">
        <f t="shared" si="41"/>
        <v>188340</v>
      </c>
      <c r="AG56" s="31">
        <f t="shared" si="42"/>
        <v>1073538</v>
      </c>
      <c r="AH56" s="30"/>
      <c r="AI56" s="30">
        <v>5.7</v>
      </c>
      <c r="AJ56" s="30">
        <v>2.1999999999999999E-2</v>
      </c>
      <c r="AK56" s="30"/>
      <c r="AL56" s="30"/>
      <c r="AM56" s="30"/>
      <c r="AN56" s="30" t="s">
        <v>176</v>
      </c>
      <c r="AO56" s="30">
        <v>9.9448000000000008</v>
      </c>
      <c r="AP56" s="30">
        <v>1650</v>
      </c>
      <c r="AQ56" s="30"/>
      <c r="AR56" s="30">
        <v>48</v>
      </c>
      <c r="AS56" s="30"/>
      <c r="AT56" s="30" t="s">
        <v>307</v>
      </c>
      <c r="AU56" s="30" t="s">
        <v>73</v>
      </c>
      <c r="AV56" s="30">
        <v>25</v>
      </c>
      <c r="AW56" s="30" t="s">
        <v>55</v>
      </c>
      <c r="AX56" s="30" t="s">
        <v>55</v>
      </c>
      <c r="AY56" s="30"/>
      <c r="AZ56" s="30">
        <v>1</v>
      </c>
      <c r="BA56" s="30" t="s">
        <v>72</v>
      </c>
      <c r="BB56" s="30"/>
      <c r="BC56" s="30">
        <v>100</v>
      </c>
      <c r="BD56" s="30"/>
      <c r="BE56" s="30"/>
      <c r="BF56" s="30">
        <v>135</v>
      </c>
      <c r="BG56" s="30">
        <f t="shared" si="43"/>
        <v>1620</v>
      </c>
      <c r="BH56" s="30"/>
      <c r="BI56" s="30"/>
      <c r="BJ56" s="30">
        <f t="shared" si="44"/>
        <v>591300</v>
      </c>
      <c r="BK56" s="30">
        <v>5</v>
      </c>
      <c r="BL56" s="30">
        <v>6</v>
      </c>
      <c r="BM56" s="30">
        <v>2.9</v>
      </c>
      <c r="BN56" s="30">
        <v>1.8</v>
      </c>
      <c r="BO56" s="35">
        <f t="shared" si="45"/>
        <v>4.6333333333333337</v>
      </c>
      <c r="BP56" s="32">
        <f t="shared" si="46"/>
        <v>1.0481666666666667</v>
      </c>
      <c r="BQ56" s="30" t="s">
        <v>305</v>
      </c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</row>
    <row r="57" spans="1:81" ht="45">
      <c r="A57" s="58" t="s">
        <v>24</v>
      </c>
      <c r="B57" s="58" t="s">
        <v>66</v>
      </c>
      <c r="C57" s="29" t="s">
        <v>245</v>
      </c>
      <c r="D57" s="30">
        <v>150</v>
      </c>
      <c r="E57" s="31">
        <f t="shared" si="24"/>
        <v>1023360</v>
      </c>
      <c r="F57" s="32">
        <f t="shared" si="25"/>
        <v>2.6067184520101456</v>
      </c>
      <c r="G57" s="33">
        <f t="shared" si="26"/>
        <v>273.14094222034544</v>
      </c>
      <c r="H57" s="34">
        <f t="shared" si="27"/>
        <v>9.5906023071734098E-2</v>
      </c>
      <c r="I57" s="35">
        <f t="shared" si="28"/>
        <v>2.5</v>
      </c>
      <c r="J57" s="36">
        <f t="shared" si="29"/>
        <v>273.14094222034544</v>
      </c>
      <c r="K57" s="32">
        <f t="shared" si="30"/>
        <v>2.6067184520101456</v>
      </c>
      <c r="L57" s="34">
        <f t="shared" si="31"/>
        <v>8.9311832753438541E-2</v>
      </c>
      <c r="M57" s="32">
        <f t="shared" si="32"/>
        <v>2.7991811643835613</v>
      </c>
      <c r="N57" s="31">
        <v>1023360</v>
      </c>
      <c r="O57" s="31">
        <f>N57*0.95</f>
        <v>972192</v>
      </c>
      <c r="P57" s="31">
        <f t="shared" si="33"/>
        <v>1291649.94</v>
      </c>
      <c r="Q57" s="37">
        <f t="shared" si="34"/>
        <v>997776</v>
      </c>
      <c r="R57" s="31">
        <f t="shared" si="35"/>
        <v>179599.68</v>
      </c>
      <c r="S57" s="31">
        <f t="shared" si="36"/>
        <v>131400</v>
      </c>
      <c r="T57" s="38">
        <v>0.09</v>
      </c>
      <c r="U57" s="31">
        <f t="shared" si="37"/>
        <v>89799.84</v>
      </c>
      <c r="V57" s="30"/>
      <c r="W57" s="30"/>
      <c r="X57" s="30"/>
      <c r="Y57" s="30">
        <v>18</v>
      </c>
      <c r="Z57" s="30"/>
      <c r="AA57" s="30">
        <v>48.07</v>
      </c>
      <c r="AB57" s="31">
        <f t="shared" si="38"/>
        <v>0</v>
      </c>
      <c r="AC57" s="31">
        <f t="shared" si="39"/>
        <v>0</v>
      </c>
      <c r="AD57" s="31">
        <f t="shared" si="40"/>
        <v>1734.4799999999998</v>
      </c>
      <c r="AE57" s="31">
        <f t="shared" si="47"/>
        <v>1200115.6199999999</v>
      </c>
      <c r="AF57" s="30">
        <f t="shared" si="41"/>
        <v>210546.59999999998</v>
      </c>
      <c r="AG57" s="31">
        <f t="shared" si="42"/>
        <v>1200115.6199999999</v>
      </c>
      <c r="AH57" s="30"/>
      <c r="AI57" s="30">
        <v>5.7</v>
      </c>
      <c r="AJ57" s="30">
        <v>2.1999999999999999E-2</v>
      </c>
      <c r="AK57" s="30"/>
      <c r="AL57" s="30"/>
      <c r="AM57" s="30"/>
      <c r="AN57" s="30" t="s">
        <v>174</v>
      </c>
      <c r="AO57" s="30">
        <v>7.5765690000000001</v>
      </c>
      <c r="AP57" s="30">
        <v>1600</v>
      </c>
      <c r="AQ57" s="30"/>
      <c r="AR57" s="30">
        <v>48.07</v>
      </c>
      <c r="AS57" s="30"/>
      <c r="AT57" s="30"/>
      <c r="AU57" s="30" t="s">
        <v>46</v>
      </c>
      <c r="AV57" s="30">
        <v>17</v>
      </c>
      <c r="AW57" s="30" t="s">
        <v>55</v>
      </c>
      <c r="AX57" s="30" t="s">
        <v>55</v>
      </c>
      <c r="AY57" s="30"/>
      <c r="AZ57" s="30">
        <v>1</v>
      </c>
      <c r="BA57" s="30" t="s">
        <v>16</v>
      </c>
      <c r="BB57" s="30">
        <v>8.6</v>
      </c>
      <c r="BC57" s="30">
        <v>100</v>
      </c>
      <c r="BD57" s="30"/>
      <c r="BE57" s="30"/>
      <c r="BF57" s="30">
        <v>150</v>
      </c>
      <c r="BG57" s="30">
        <f t="shared" si="43"/>
        <v>1800</v>
      </c>
      <c r="BH57" s="30">
        <v>216</v>
      </c>
      <c r="BI57" s="30"/>
      <c r="BJ57" s="30">
        <f t="shared" si="44"/>
        <v>657000</v>
      </c>
      <c r="BK57" s="30">
        <v>8</v>
      </c>
      <c r="BL57" s="30">
        <v>8</v>
      </c>
      <c r="BM57" s="30">
        <v>4.3</v>
      </c>
      <c r="BN57" s="30">
        <v>6.3</v>
      </c>
      <c r="BO57" s="35">
        <f t="shared" si="45"/>
        <v>6.7666666666666666</v>
      </c>
      <c r="BP57" s="32">
        <f t="shared" si="46"/>
        <v>1.0738333333333334</v>
      </c>
      <c r="BQ57" s="30" t="s">
        <v>305</v>
      </c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</row>
    <row r="58" spans="1:81" ht="45">
      <c r="A58" s="58" t="s">
        <v>24</v>
      </c>
      <c r="B58" s="58" t="s">
        <v>75</v>
      </c>
      <c r="C58" s="29" t="s">
        <v>223</v>
      </c>
      <c r="D58" s="30">
        <v>120</v>
      </c>
      <c r="E58" s="31">
        <f t="shared" si="24"/>
        <v>1329005</v>
      </c>
      <c r="F58" s="32">
        <f t="shared" si="25"/>
        <v>2.6315135532562683</v>
      </c>
      <c r="G58" s="33">
        <f t="shared" si="26"/>
        <v>310.5304242880153</v>
      </c>
      <c r="H58" s="34">
        <f t="shared" si="27"/>
        <v>9.500236078611371E-2</v>
      </c>
      <c r="I58" s="35">
        <f t="shared" si="28"/>
        <v>2.5</v>
      </c>
      <c r="J58" s="36">
        <f>IF(I58-K58&gt;0,Q58/(30*(I58-K58)*BG58),100-Q58/(30*(I58-K58)*BG58))/9</f>
        <v>34.503380476446146</v>
      </c>
      <c r="K58" s="32">
        <f t="shared" si="30"/>
        <v>2.6315135532562683</v>
      </c>
      <c r="L58" s="34">
        <f t="shared" si="31"/>
        <v>8.8470303386106189E-2</v>
      </c>
      <c r="M58" s="32">
        <f t="shared" si="32"/>
        <v>2.8258069706050226</v>
      </c>
      <c r="N58" s="31">
        <v>1329005</v>
      </c>
      <c r="O58" s="31">
        <f>N58*0.8</f>
        <v>1063204</v>
      </c>
      <c r="P58" s="31">
        <f t="shared" si="33"/>
        <v>972896.505</v>
      </c>
      <c r="Q58" s="37">
        <f t="shared" si="34"/>
        <v>1196104.5</v>
      </c>
      <c r="R58" s="31">
        <f t="shared" si="35"/>
        <v>215298.81</v>
      </c>
      <c r="S58" s="31">
        <f t="shared" si="36"/>
        <v>105120</v>
      </c>
      <c r="T58" s="38">
        <v>0.09</v>
      </c>
      <c r="U58" s="31">
        <f t="shared" si="37"/>
        <v>107649.405</v>
      </c>
      <c r="V58" s="30"/>
      <c r="W58" s="30"/>
      <c r="X58" s="30">
        <v>5.2</v>
      </c>
      <c r="Y58" s="30">
        <v>18</v>
      </c>
      <c r="Z58" s="30"/>
      <c r="AA58" s="30">
        <v>3.57</v>
      </c>
      <c r="AB58" s="31">
        <f t="shared" si="38"/>
        <v>0</v>
      </c>
      <c r="AC58" s="31">
        <f t="shared" si="39"/>
        <v>774384</v>
      </c>
      <c r="AD58" s="31">
        <f t="shared" si="40"/>
        <v>1734.4799999999998</v>
      </c>
      <c r="AE58" s="31">
        <f t="shared" si="47"/>
        <v>89128.62</v>
      </c>
      <c r="AF58" s="30">
        <f t="shared" si="41"/>
        <v>15636.599999999999</v>
      </c>
      <c r="AG58" s="31">
        <f t="shared" si="42"/>
        <v>89128.62</v>
      </c>
      <c r="AH58" s="30"/>
      <c r="AI58" s="30">
        <v>5.7</v>
      </c>
      <c r="AJ58" s="30">
        <v>2.1999999999999999E-2</v>
      </c>
      <c r="AK58" s="30">
        <v>34</v>
      </c>
      <c r="AL58" s="30"/>
      <c r="AM58" s="30"/>
      <c r="AN58" s="29" t="s">
        <v>80</v>
      </c>
      <c r="AO58" s="30">
        <v>7.5765690000000001</v>
      </c>
      <c r="AP58" s="30">
        <v>1600</v>
      </c>
      <c r="AQ58" s="30"/>
      <c r="AR58" s="30">
        <v>69.7</v>
      </c>
      <c r="AS58" s="30" t="s">
        <v>55</v>
      </c>
      <c r="AT58" s="30"/>
      <c r="AU58" s="30" t="s">
        <v>46</v>
      </c>
      <c r="AV58" s="30">
        <v>17</v>
      </c>
      <c r="AW58" s="30" t="s">
        <v>55</v>
      </c>
      <c r="AX58" s="30" t="s">
        <v>55</v>
      </c>
      <c r="AY58" s="30"/>
      <c r="AZ58" s="30">
        <v>1</v>
      </c>
      <c r="BA58" s="30" t="s">
        <v>16</v>
      </c>
      <c r="BB58" s="30">
        <v>8.6</v>
      </c>
      <c r="BC58" s="30">
        <v>100</v>
      </c>
      <c r="BD58" s="30"/>
      <c r="BE58" s="30"/>
      <c r="BF58" s="30">
        <v>120</v>
      </c>
      <c r="BG58" s="30">
        <f t="shared" si="43"/>
        <v>1440</v>
      </c>
      <c r="BH58" s="30">
        <v>216</v>
      </c>
      <c r="BI58" s="30"/>
      <c r="BJ58" s="30">
        <f t="shared" si="44"/>
        <v>525600</v>
      </c>
      <c r="BK58" s="30">
        <v>8</v>
      </c>
      <c r="BL58" s="30">
        <v>8</v>
      </c>
      <c r="BM58" s="30">
        <v>4.3</v>
      </c>
      <c r="BN58" s="30">
        <v>6.3</v>
      </c>
      <c r="BO58" s="35">
        <f t="shared" si="45"/>
        <v>6.7666666666666666</v>
      </c>
      <c r="BP58" s="32">
        <f t="shared" si="46"/>
        <v>1.0738333333333334</v>
      </c>
      <c r="BQ58" s="30" t="s">
        <v>305</v>
      </c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</row>
    <row r="59" spans="1:81" ht="45">
      <c r="A59" s="58" t="s">
        <v>215</v>
      </c>
      <c r="B59" s="58" t="s">
        <v>96</v>
      </c>
      <c r="C59" s="29" t="s">
        <v>245</v>
      </c>
      <c r="D59" s="30">
        <v>160</v>
      </c>
      <c r="E59" s="31">
        <f t="shared" si="24"/>
        <v>800000</v>
      </c>
      <c r="F59" s="32">
        <f t="shared" si="25"/>
        <v>2.6437887173081069</v>
      </c>
      <c r="G59" s="33">
        <f t="shared" si="26"/>
        <v>191.76272444361342</v>
      </c>
      <c r="H59" s="34">
        <f t="shared" si="27"/>
        <v>9.4561262919129488E-2</v>
      </c>
      <c r="I59" s="35">
        <f t="shared" si="28"/>
        <v>2.5</v>
      </c>
      <c r="J59" s="36">
        <f t="shared" ref="J59:J88" si="48">IF(I59-K59&gt;0,Q59/(30*(I59-K59)*BG59),100-Q59/(30*(I59-K59)*BG59))</f>
        <v>191.76272444361342</v>
      </c>
      <c r="K59" s="32">
        <f t="shared" si="30"/>
        <v>2.6437887173081069</v>
      </c>
      <c r="L59" s="34">
        <f t="shared" si="31"/>
        <v>9.0215865402254236E-2</v>
      </c>
      <c r="M59" s="32">
        <f t="shared" si="32"/>
        <v>2.7711312071917806</v>
      </c>
      <c r="N59" s="31">
        <v>800000</v>
      </c>
      <c r="O59" s="31">
        <f>N59*0.9</f>
        <v>720000</v>
      </c>
      <c r="P59" s="31">
        <f t="shared" si="33"/>
        <v>1416807</v>
      </c>
      <c r="Q59" s="37">
        <f t="shared" si="34"/>
        <v>760000</v>
      </c>
      <c r="R59" s="31">
        <f t="shared" si="35"/>
        <v>136800</v>
      </c>
      <c r="S59" s="31">
        <f t="shared" si="36"/>
        <v>140160</v>
      </c>
      <c r="T59" s="38">
        <v>0.12</v>
      </c>
      <c r="U59" s="31">
        <f t="shared" si="37"/>
        <v>91200</v>
      </c>
      <c r="V59" s="30"/>
      <c r="W59" s="30"/>
      <c r="X59" s="30"/>
      <c r="Y59" s="30">
        <v>25</v>
      </c>
      <c r="Z59" s="30"/>
      <c r="AA59" s="30">
        <v>53</v>
      </c>
      <c r="AB59" s="31">
        <f t="shared" si="38"/>
        <v>0</v>
      </c>
      <c r="AC59" s="31">
        <f t="shared" si="39"/>
        <v>0</v>
      </c>
      <c r="AD59" s="31">
        <f t="shared" si="40"/>
        <v>2409</v>
      </c>
      <c r="AE59" s="31">
        <f t="shared" si="47"/>
        <v>1323198</v>
      </c>
      <c r="AF59" s="30">
        <f t="shared" si="41"/>
        <v>232140</v>
      </c>
      <c r="AG59" s="31">
        <f t="shared" si="42"/>
        <v>1323198</v>
      </c>
      <c r="AH59" s="30"/>
      <c r="AI59" s="30">
        <v>5.7</v>
      </c>
      <c r="AJ59" s="30">
        <v>2.1999999999999999E-2</v>
      </c>
      <c r="AK59" s="30"/>
      <c r="AL59" s="30"/>
      <c r="AM59" s="30"/>
      <c r="AN59" s="30" t="s">
        <v>91</v>
      </c>
      <c r="AO59" s="30">
        <v>15.42051</v>
      </c>
      <c r="AP59" s="30">
        <v>2150</v>
      </c>
      <c r="AQ59" s="30"/>
      <c r="AR59" s="30">
        <v>75</v>
      </c>
      <c r="AS59" s="30"/>
      <c r="AT59" s="30" t="s">
        <v>306</v>
      </c>
      <c r="AU59" s="30" t="s">
        <v>73</v>
      </c>
      <c r="AV59" s="30" t="s">
        <v>55</v>
      </c>
      <c r="AW59" s="30"/>
      <c r="AX59" s="30" t="s">
        <v>55</v>
      </c>
      <c r="AY59" s="30"/>
      <c r="AZ59" s="30">
        <v>1</v>
      </c>
      <c r="BA59" s="30" t="s">
        <v>36</v>
      </c>
      <c r="BB59" s="30"/>
      <c r="BC59" s="30">
        <v>100</v>
      </c>
      <c r="BD59" s="30"/>
      <c r="BE59" s="30"/>
      <c r="BF59" s="30">
        <v>160</v>
      </c>
      <c r="BG59" s="30">
        <f t="shared" si="43"/>
        <v>1920</v>
      </c>
      <c r="BH59" s="30"/>
      <c r="BI59" s="30"/>
      <c r="BJ59" s="30">
        <f t="shared" si="44"/>
        <v>700800</v>
      </c>
      <c r="BK59" s="30">
        <v>5</v>
      </c>
      <c r="BL59" s="30">
        <v>6</v>
      </c>
      <c r="BM59" s="30">
        <v>2.9</v>
      </c>
      <c r="BN59" s="30">
        <v>1.8</v>
      </c>
      <c r="BO59" s="35">
        <f t="shared" si="45"/>
        <v>4.6333333333333337</v>
      </c>
      <c r="BP59" s="32">
        <f t="shared" si="46"/>
        <v>1.0481666666666667</v>
      </c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</row>
    <row r="60" spans="1:81" ht="45">
      <c r="A60" s="58" t="s">
        <v>215</v>
      </c>
      <c r="B60" s="58" t="s">
        <v>89</v>
      </c>
      <c r="C60" s="29" t="s">
        <v>223</v>
      </c>
      <c r="D60" s="30">
        <v>160</v>
      </c>
      <c r="E60" s="31">
        <f t="shared" si="24"/>
        <v>820000</v>
      </c>
      <c r="F60" s="32">
        <f t="shared" si="25"/>
        <v>2.6578114891842026</v>
      </c>
      <c r="G60" s="33">
        <f t="shared" si="26"/>
        <v>185.69911877435965</v>
      </c>
      <c r="H60" s="34">
        <f t="shared" si="27"/>
        <v>9.406235205821005E-2</v>
      </c>
      <c r="I60" s="35">
        <f t="shared" si="28"/>
        <v>2.5</v>
      </c>
      <c r="J60" s="36">
        <f t="shared" si="48"/>
        <v>185.69911877435965</v>
      </c>
      <c r="K60" s="32">
        <f t="shared" si="30"/>
        <v>2.6578114891842026</v>
      </c>
      <c r="L60" s="34">
        <f t="shared" si="31"/>
        <v>8.9739881117707157E-2</v>
      </c>
      <c r="M60" s="32">
        <f t="shared" si="32"/>
        <v>2.785829409246575</v>
      </c>
      <c r="N60" s="31">
        <v>820000</v>
      </c>
      <c r="O60" s="31">
        <f>N60*0.9</f>
        <v>738000</v>
      </c>
      <c r="P60" s="31">
        <f t="shared" si="33"/>
        <v>1421627.4</v>
      </c>
      <c r="Q60" s="37">
        <f t="shared" si="34"/>
        <v>779000</v>
      </c>
      <c r="R60" s="31">
        <f t="shared" si="35"/>
        <v>140220</v>
      </c>
      <c r="S60" s="31">
        <f t="shared" si="36"/>
        <v>140160</v>
      </c>
      <c r="T60" s="38">
        <v>0.12</v>
      </c>
      <c r="U60" s="31">
        <f t="shared" si="37"/>
        <v>93480</v>
      </c>
      <c r="V60" s="30"/>
      <c r="W60" s="30"/>
      <c r="X60" s="30">
        <v>8.5</v>
      </c>
      <c r="Y60" s="30">
        <v>25</v>
      </c>
      <c r="Z60" s="30"/>
      <c r="AA60" s="30">
        <v>2.4</v>
      </c>
      <c r="AB60" s="31">
        <f t="shared" si="38"/>
        <v>0</v>
      </c>
      <c r="AC60" s="31">
        <f t="shared" si="39"/>
        <v>1265820</v>
      </c>
      <c r="AD60" s="31">
        <f t="shared" si="40"/>
        <v>2409</v>
      </c>
      <c r="AE60" s="31">
        <f t="shared" si="47"/>
        <v>59918.400000000001</v>
      </c>
      <c r="AF60" s="30">
        <f t="shared" si="41"/>
        <v>10512</v>
      </c>
      <c r="AG60" s="31">
        <f t="shared" si="42"/>
        <v>59918.400000000001</v>
      </c>
      <c r="AH60" s="30"/>
      <c r="AI60" s="30">
        <v>5.7</v>
      </c>
      <c r="AJ60" s="30">
        <v>2.1999999999999999E-2</v>
      </c>
      <c r="AK60" s="30">
        <v>34</v>
      </c>
      <c r="AL60" s="30"/>
      <c r="AM60" s="30"/>
      <c r="AN60" s="30" t="s">
        <v>91</v>
      </c>
      <c r="AO60" s="30">
        <v>15.42051</v>
      </c>
      <c r="AP60" s="30">
        <v>2150</v>
      </c>
      <c r="AQ60" s="30"/>
      <c r="AR60" s="30">
        <v>75</v>
      </c>
      <c r="AS60" s="30"/>
      <c r="AT60" s="30"/>
      <c r="AU60" s="30" t="s">
        <v>73</v>
      </c>
      <c r="AV60" s="30"/>
      <c r="AW60" s="30"/>
      <c r="AX60" s="30"/>
      <c r="AY60" s="30"/>
      <c r="AZ60" s="30">
        <v>1</v>
      </c>
      <c r="BA60" s="30" t="s">
        <v>90</v>
      </c>
      <c r="BB60" s="30"/>
      <c r="BC60" s="30">
        <v>100</v>
      </c>
      <c r="BD60" s="30"/>
      <c r="BE60" s="30"/>
      <c r="BF60" s="30">
        <v>160</v>
      </c>
      <c r="BG60" s="30">
        <f t="shared" si="43"/>
        <v>1920</v>
      </c>
      <c r="BH60" s="30"/>
      <c r="BI60" s="30"/>
      <c r="BJ60" s="30">
        <f t="shared" si="44"/>
        <v>700800</v>
      </c>
      <c r="BK60" s="30">
        <v>5</v>
      </c>
      <c r="BL60" s="30">
        <v>6</v>
      </c>
      <c r="BM60" s="30">
        <v>2.9</v>
      </c>
      <c r="BN60" s="30">
        <v>1.8</v>
      </c>
      <c r="BO60" s="35">
        <f t="shared" si="45"/>
        <v>4.6333333333333337</v>
      </c>
      <c r="BP60" s="32">
        <f t="shared" si="46"/>
        <v>1.0481666666666667</v>
      </c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</row>
    <row r="61" spans="1:81" ht="45">
      <c r="A61" s="58" t="s">
        <v>130</v>
      </c>
      <c r="B61" s="58" t="s">
        <v>126</v>
      </c>
      <c r="C61" s="29" t="s">
        <v>223</v>
      </c>
      <c r="D61" s="30">
        <v>150</v>
      </c>
      <c r="E61" s="31">
        <f t="shared" si="24"/>
        <v>1419576</v>
      </c>
      <c r="F61" s="32">
        <f t="shared" si="25"/>
        <v>2.6761593807907458</v>
      </c>
      <c r="G61" s="33">
        <f t="shared" si="26"/>
        <v>241.0233158659301</v>
      </c>
      <c r="H61" s="34">
        <f t="shared" si="27"/>
        <v>9.3417455550099018E-2</v>
      </c>
      <c r="I61" s="35">
        <f t="shared" si="28"/>
        <v>2.5</v>
      </c>
      <c r="J61" s="36">
        <f t="shared" si="48"/>
        <v>241.0233158659301</v>
      </c>
      <c r="K61" s="32">
        <f t="shared" si="30"/>
        <v>2.6761593807907458</v>
      </c>
      <c r="L61" s="34">
        <f t="shared" si="31"/>
        <v>8.8575337120827144E-2</v>
      </c>
      <c r="M61" s="32">
        <f t="shared" si="32"/>
        <v>2.8224560936073062</v>
      </c>
      <c r="N61" s="31">
        <v>1419576</v>
      </c>
      <c r="O61" s="31">
        <f>N61*0.89</f>
        <v>1263422.6400000001</v>
      </c>
      <c r="P61" s="31">
        <f t="shared" si="33"/>
        <v>1242013.0452000001</v>
      </c>
      <c r="Q61" s="37">
        <f t="shared" si="34"/>
        <v>1341499.32</v>
      </c>
      <c r="R61" s="31">
        <f t="shared" si="35"/>
        <v>241469.87760000001</v>
      </c>
      <c r="S61" s="31">
        <f t="shared" si="36"/>
        <v>131400</v>
      </c>
      <c r="T61" s="38">
        <v>0.11</v>
      </c>
      <c r="U61" s="31">
        <f t="shared" si="37"/>
        <v>147564.9252</v>
      </c>
      <c r="V61" s="30"/>
      <c r="W61" s="30"/>
      <c r="X61" s="30">
        <v>6.5</v>
      </c>
      <c r="Y61" s="30">
        <v>17</v>
      </c>
      <c r="Z61" s="30"/>
      <c r="AA61" s="30">
        <v>5</v>
      </c>
      <c r="AB61" s="31">
        <f t="shared" si="38"/>
        <v>0</v>
      </c>
      <c r="AC61" s="31">
        <f t="shared" si="39"/>
        <v>967980</v>
      </c>
      <c r="AD61" s="31">
        <f t="shared" si="40"/>
        <v>1638.12</v>
      </c>
      <c r="AE61" s="31">
        <f t="shared" si="47"/>
        <v>124830</v>
      </c>
      <c r="AF61" s="30">
        <f t="shared" si="41"/>
        <v>21900</v>
      </c>
      <c r="AG61" s="31">
        <f t="shared" si="42"/>
        <v>124830</v>
      </c>
      <c r="AH61" s="30"/>
      <c r="AI61" s="30">
        <v>5.7</v>
      </c>
      <c r="AJ61" s="30">
        <v>2.1999999999999999E-2</v>
      </c>
      <c r="AK61" s="30">
        <v>34</v>
      </c>
      <c r="AL61" s="30"/>
      <c r="AM61" s="30"/>
      <c r="AN61" s="30" t="s">
        <v>123</v>
      </c>
      <c r="AO61" s="30">
        <v>9.5383600000000008</v>
      </c>
      <c r="AP61" s="30">
        <v>2250</v>
      </c>
      <c r="AQ61" s="30"/>
      <c r="AR61" s="30">
        <v>60</v>
      </c>
      <c r="AS61" s="30" t="s">
        <v>122</v>
      </c>
      <c r="AT61" s="30"/>
      <c r="AU61" s="30"/>
      <c r="AV61" s="30">
        <v>24</v>
      </c>
      <c r="AW61" s="30"/>
      <c r="AX61" s="30" t="s">
        <v>124</v>
      </c>
      <c r="AY61" s="30">
        <v>18</v>
      </c>
      <c r="AZ61" s="30">
        <v>1</v>
      </c>
      <c r="BA61" s="30" t="s">
        <v>36</v>
      </c>
      <c r="BB61" s="30">
        <v>8.6</v>
      </c>
      <c r="BC61" s="30"/>
      <c r="BD61" s="30"/>
      <c r="BE61" s="30"/>
      <c r="BF61" s="30">
        <v>150</v>
      </c>
      <c r="BG61" s="30">
        <f t="shared" si="43"/>
        <v>1800</v>
      </c>
      <c r="BH61" s="30"/>
      <c r="BI61" s="30"/>
      <c r="BJ61" s="30">
        <f t="shared" si="44"/>
        <v>657000</v>
      </c>
      <c r="BK61" s="30">
        <v>6</v>
      </c>
      <c r="BL61" s="30">
        <v>6</v>
      </c>
      <c r="BM61" s="30">
        <v>2.8</v>
      </c>
      <c r="BN61" s="30">
        <v>1.5</v>
      </c>
      <c r="BO61" s="35">
        <f t="shared" si="45"/>
        <v>4.9333333333333336</v>
      </c>
      <c r="BP61" s="32">
        <f t="shared" si="46"/>
        <v>1.0546666666666666</v>
      </c>
      <c r="BQ61" s="30" t="s">
        <v>305</v>
      </c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</row>
    <row r="62" spans="1:81" ht="45">
      <c r="A62" s="58" t="s">
        <v>130</v>
      </c>
      <c r="B62" s="58" t="s">
        <v>133</v>
      </c>
      <c r="C62" s="29" t="s">
        <v>245</v>
      </c>
      <c r="D62" s="30">
        <v>192</v>
      </c>
      <c r="E62" s="31">
        <f t="shared" si="24"/>
        <v>1604738</v>
      </c>
      <c r="F62" s="32">
        <f t="shared" si="25"/>
        <v>2.7691290109535736</v>
      </c>
      <c r="G62" s="33">
        <f t="shared" si="26"/>
        <v>181.52141334006816</v>
      </c>
      <c r="H62" s="34">
        <f t="shared" si="27"/>
        <v>9.0281095250925258E-2</v>
      </c>
      <c r="I62" s="35">
        <f t="shared" si="28"/>
        <v>2.5</v>
      </c>
      <c r="J62" s="36">
        <f t="shared" si="48"/>
        <v>181.52141334006816</v>
      </c>
      <c r="K62" s="32">
        <f t="shared" si="30"/>
        <v>2.7691290109535736</v>
      </c>
      <c r="L62" s="34">
        <f t="shared" si="31"/>
        <v>8.5601544169651003E-2</v>
      </c>
      <c r="M62" s="32">
        <f t="shared" si="32"/>
        <v>2.9205080635523686</v>
      </c>
      <c r="N62" s="31">
        <v>1604738</v>
      </c>
      <c r="O62" s="31">
        <f>N62*0.89</f>
        <v>1428216.82</v>
      </c>
      <c r="P62" s="31">
        <f t="shared" si="33"/>
        <v>1691858.4350999999</v>
      </c>
      <c r="Q62" s="37">
        <f t="shared" si="34"/>
        <v>1516477.4100000001</v>
      </c>
      <c r="R62" s="31">
        <f t="shared" si="35"/>
        <v>272965.9338</v>
      </c>
      <c r="S62" s="31">
        <f t="shared" si="36"/>
        <v>168192</v>
      </c>
      <c r="T62" s="38">
        <v>0.11</v>
      </c>
      <c r="U62" s="31">
        <f t="shared" si="37"/>
        <v>166812.51510000002</v>
      </c>
      <c r="V62" s="30"/>
      <c r="W62" s="30"/>
      <c r="X62" s="30"/>
      <c r="Y62" s="30">
        <v>22</v>
      </c>
      <c r="Z62" s="30"/>
      <c r="AA62" s="30">
        <v>61</v>
      </c>
      <c r="AB62" s="31">
        <f t="shared" si="38"/>
        <v>0</v>
      </c>
      <c r="AC62" s="31">
        <f t="shared" si="39"/>
        <v>0</v>
      </c>
      <c r="AD62" s="31">
        <f t="shared" si="40"/>
        <v>2119.92</v>
      </c>
      <c r="AE62" s="31">
        <f t="shared" si="47"/>
        <v>1522926</v>
      </c>
      <c r="AF62" s="30">
        <f t="shared" si="41"/>
        <v>267180</v>
      </c>
      <c r="AG62" s="31">
        <f t="shared" si="42"/>
        <v>1522926</v>
      </c>
      <c r="AH62" s="30"/>
      <c r="AI62" s="30">
        <v>5.7</v>
      </c>
      <c r="AJ62" s="30">
        <v>2.1999999999999999E-2</v>
      </c>
      <c r="AK62" s="30"/>
      <c r="AL62" s="30"/>
      <c r="AM62" s="30"/>
      <c r="AN62" s="30" t="s">
        <v>220</v>
      </c>
      <c r="AO62" s="30">
        <v>7.9364999999999997</v>
      </c>
      <c r="AP62" s="30">
        <v>1700</v>
      </c>
      <c r="AQ62" s="30"/>
      <c r="AR62" s="30">
        <v>80</v>
      </c>
      <c r="AS62" s="30"/>
      <c r="AT62" s="30"/>
      <c r="AU62" s="30" t="s">
        <v>129</v>
      </c>
      <c r="AV62" s="30"/>
      <c r="AW62" s="30"/>
      <c r="AX62" s="30" t="s">
        <v>124</v>
      </c>
      <c r="AY62" s="30">
        <v>18</v>
      </c>
      <c r="AZ62" s="30">
        <v>1</v>
      </c>
      <c r="BA62" s="30" t="s">
        <v>82</v>
      </c>
      <c r="BB62" s="30">
        <v>14.4</v>
      </c>
      <c r="BC62" s="30"/>
      <c r="BD62" s="30"/>
      <c r="BE62" s="30"/>
      <c r="BF62" s="30">
        <v>192</v>
      </c>
      <c r="BG62" s="30">
        <f t="shared" si="43"/>
        <v>2304</v>
      </c>
      <c r="BH62" s="30"/>
      <c r="BI62" s="30"/>
      <c r="BJ62" s="30">
        <f t="shared" si="44"/>
        <v>840960</v>
      </c>
      <c r="BK62" s="30">
        <v>6</v>
      </c>
      <c r="BL62" s="30">
        <v>6</v>
      </c>
      <c r="BM62" s="30">
        <v>2.8</v>
      </c>
      <c r="BN62" s="30">
        <v>1</v>
      </c>
      <c r="BO62" s="35">
        <f t="shared" si="45"/>
        <v>4.9333333333333336</v>
      </c>
      <c r="BP62" s="32">
        <f t="shared" si="46"/>
        <v>1.0546666666666666</v>
      </c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</row>
    <row r="63" spans="1:81" ht="45">
      <c r="A63" s="58" t="s">
        <v>130</v>
      </c>
      <c r="B63" s="58" t="s">
        <v>134</v>
      </c>
      <c r="C63" s="29" t="s">
        <v>223</v>
      </c>
      <c r="D63" s="30">
        <v>160</v>
      </c>
      <c r="E63" s="31">
        <f t="shared" si="24"/>
        <v>1604738</v>
      </c>
      <c r="F63" s="32">
        <f t="shared" si="25"/>
        <v>2.8147410762316425</v>
      </c>
      <c r="G63" s="33">
        <f t="shared" si="26"/>
        <v>183.64886187630424</v>
      </c>
      <c r="H63" s="34">
        <f t="shared" si="27"/>
        <v>8.8818116206517445E-2</v>
      </c>
      <c r="I63" s="35">
        <f t="shared" si="28"/>
        <v>2.5</v>
      </c>
      <c r="J63" s="36">
        <f t="shared" si="48"/>
        <v>183.64886187630424</v>
      </c>
      <c r="K63" s="32">
        <f t="shared" si="30"/>
        <v>2.8147410762316425</v>
      </c>
      <c r="L63" s="34">
        <f t="shared" si="31"/>
        <v>8.4214395897456495E-2</v>
      </c>
      <c r="M63" s="32">
        <f t="shared" si="32"/>
        <v>2.9686135883989722</v>
      </c>
      <c r="N63" s="31">
        <v>1604738</v>
      </c>
      <c r="O63" s="31">
        <f>N63*0.89</f>
        <v>1428216.82</v>
      </c>
      <c r="P63" s="31">
        <f t="shared" si="33"/>
        <v>1391357.5883999998</v>
      </c>
      <c r="Q63" s="37">
        <f t="shared" si="34"/>
        <v>1516477.4100000001</v>
      </c>
      <c r="R63" s="31">
        <f t="shared" si="35"/>
        <v>272965.9338</v>
      </c>
      <c r="S63" s="31">
        <f t="shared" si="36"/>
        <v>140160</v>
      </c>
      <c r="T63" s="38">
        <v>9.71428571428571E-2</v>
      </c>
      <c r="U63" s="31">
        <f t="shared" si="37"/>
        <v>147314.94839999994</v>
      </c>
      <c r="V63" s="30"/>
      <c r="W63" s="30"/>
      <c r="X63" s="30">
        <v>7.5</v>
      </c>
      <c r="Y63" s="30">
        <v>24</v>
      </c>
      <c r="Z63" s="30"/>
      <c r="AA63" s="30">
        <v>5</v>
      </c>
      <c r="AB63" s="31">
        <f t="shared" si="38"/>
        <v>0</v>
      </c>
      <c r="AC63" s="31">
        <f t="shared" si="39"/>
        <v>1116900</v>
      </c>
      <c r="AD63" s="31">
        <f t="shared" si="40"/>
        <v>2312.64</v>
      </c>
      <c r="AE63" s="31">
        <f t="shared" si="47"/>
        <v>124830</v>
      </c>
      <c r="AF63" s="30">
        <f t="shared" si="41"/>
        <v>21900</v>
      </c>
      <c r="AG63" s="31">
        <f t="shared" si="42"/>
        <v>124830</v>
      </c>
      <c r="AH63" s="30"/>
      <c r="AI63" s="30">
        <v>5.7</v>
      </c>
      <c r="AJ63" s="30">
        <v>2.1999999999999999E-2</v>
      </c>
      <c r="AK63" s="30">
        <v>34</v>
      </c>
      <c r="AL63" s="30"/>
      <c r="AM63" s="30"/>
      <c r="AN63" s="30" t="s">
        <v>131</v>
      </c>
      <c r="AO63" s="30">
        <v>14.468999999999999</v>
      </c>
      <c r="AP63" s="30">
        <v>2800</v>
      </c>
      <c r="AQ63" s="30"/>
      <c r="AR63" s="30">
        <v>80</v>
      </c>
      <c r="AS63" s="30" t="s">
        <v>132</v>
      </c>
      <c r="AT63" s="30"/>
      <c r="AU63" s="30" t="s">
        <v>129</v>
      </c>
      <c r="AV63" s="30"/>
      <c r="AW63" s="30"/>
      <c r="AX63" s="30" t="s">
        <v>124</v>
      </c>
      <c r="AY63" s="30">
        <v>18</v>
      </c>
      <c r="AZ63" s="30">
        <v>1</v>
      </c>
      <c r="BA63" s="30" t="s">
        <v>82</v>
      </c>
      <c r="BB63" s="30">
        <v>14.4</v>
      </c>
      <c r="BC63" s="30"/>
      <c r="BD63" s="30"/>
      <c r="BE63" s="30"/>
      <c r="BF63" s="30">
        <v>160</v>
      </c>
      <c r="BG63" s="30">
        <f t="shared" si="43"/>
        <v>1920</v>
      </c>
      <c r="BH63" s="30"/>
      <c r="BI63" s="30"/>
      <c r="BJ63" s="30">
        <f t="shared" si="44"/>
        <v>700800</v>
      </c>
      <c r="BK63" s="30">
        <v>6</v>
      </c>
      <c r="BL63" s="30">
        <v>6</v>
      </c>
      <c r="BM63" s="30">
        <v>2.8</v>
      </c>
      <c r="BN63" s="30">
        <v>1.5</v>
      </c>
      <c r="BO63" s="35">
        <f t="shared" si="45"/>
        <v>4.9333333333333336</v>
      </c>
      <c r="BP63" s="32">
        <f t="shared" si="46"/>
        <v>1.0546666666666666</v>
      </c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</row>
    <row r="64" spans="1:81" ht="45">
      <c r="A64" s="58" t="s">
        <v>30</v>
      </c>
      <c r="B64" s="58" t="s">
        <v>102</v>
      </c>
      <c r="C64" s="29" t="s">
        <v>245</v>
      </c>
      <c r="D64" s="30">
        <v>170</v>
      </c>
      <c r="E64" s="31">
        <f t="shared" si="24"/>
        <v>1794877</v>
      </c>
      <c r="F64" s="32">
        <f t="shared" si="25"/>
        <v>2.8698271980187307</v>
      </c>
      <c r="G64" s="33">
        <f t="shared" si="26"/>
        <v>177.31950035004843</v>
      </c>
      <c r="H64" s="34">
        <f t="shared" si="27"/>
        <v>8.7113259004791235E-2</v>
      </c>
      <c r="I64" s="35">
        <f t="shared" si="28"/>
        <v>2.5</v>
      </c>
      <c r="J64" s="36">
        <f t="shared" si="48"/>
        <v>177.31950035004843</v>
      </c>
      <c r="K64" s="32">
        <f t="shared" si="30"/>
        <v>2.8698271980187307</v>
      </c>
      <c r="L64" s="34">
        <f t="shared" si="31"/>
        <v>7.9932643222013669E-2</v>
      </c>
      <c r="M64" s="32">
        <f t="shared" si="32"/>
        <v>3.1276333413074138</v>
      </c>
      <c r="N64" s="31">
        <v>1794877</v>
      </c>
      <c r="O64" s="31">
        <f>N64*0.95</f>
        <v>1705133.15</v>
      </c>
      <c r="P64" s="31">
        <f t="shared" si="33"/>
        <v>1548067.7152500001</v>
      </c>
      <c r="Q64" s="37">
        <f t="shared" si="34"/>
        <v>1750005.075</v>
      </c>
      <c r="R64" s="31">
        <f t="shared" si="35"/>
        <v>315000.91349999997</v>
      </c>
      <c r="S64" s="31">
        <f t="shared" si="36"/>
        <v>148920</v>
      </c>
      <c r="T64" s="38">
        <v>7.0000000000000007E-2</v>
      </c>
      <c r="U64" s="31">
        <f t="shared" si="37"/>
        <v>122500.35525000001</v>
      </c>
      <c r="V64" s="30"/>
      <c r="W64" s="30"/>
      <c r="X64" s="30"/>
      <c r="Y64" s="30">
        <v>26</v>
      </c>
      <c r="Z64" s="30"/>
      <c r="AA64" s="30">
        <v>57</v>
      </c>
      <c r="AB64" s="31">
        <f t="shared" si="38"/>
        <v>0</v>
      </c>
      <c r="AC64" s="31">
        <f t="shared" si="39"/>
        <v>0</v>
      </c>
      <c r="AD64" s="31">
        <f t="shared" si="40"/>
        <v>2505.3599999999997</v>
      </c>
      <c r="AE64" s="31">
        <f t="shared" si="47"/>
        <v>1423062</v>
      </c>
      <c r="AF64" s="30">
        <f t="shared" si="41"/>
        <v>249660</v>
      </c>
      <c r="AG64" s="31">
        <f t="shared" si="42"/>
        <v>1423062</v>
      </c>
      <c r="AH64" s="30"/>
      <c r="AI64" s="30">
        <v>5.7</v>
      </c>
      <c r="AJ64" s="30">
        <v>2.1999999999999999E-2</v>
      </c>
      <c r="AK64" s="30"/>
      <c r="AL64" s="30"/>
      <c r="AM64" s="30"/>
      <c r="AN64" s="30" t="s">
        <v>86</v>
      </c>
      <c r="AO64" s="30">
        <v>7.8771199999999997</v>
      </c>
      <c r="AP64" s="30">
        <v>2000</v>
      </c>
      <c r="AQ64" s="30"/>
      <c r="AR64" s="30" t="s">
        <v>88</v>
      </c>
      <c r="AS64" s="30"/>
      <c r="AT64" s="30"/>
      <c r="AU64" s="30" t="s">
        <v>55</v>
      </c>
      <c r="AV64" s="30" t="s">
        <v>55</v>
      </c>
      <c r="AW64" s="30"/>
      <c r="AX64" s="30" t="s">
        <v>55</v>
      </c>
      <c r="AY64" s="30"/>
      <c r="AZ64" s="30">
        <v>1</v>
      </c>
      <c r="BA64" s="30" t="s">
        <v>108</v>
      </c>
      <c r="BB64" s="30">
        <v>12</v>
      </c>
      <c r="BC64" s="30">
        <v>100</v>
      </c>
      <c r="BD64" s="30"/>
      <c r="BE64" s="30"/>
      <c r="BF64" s="30">
        <v>170</v>
      </c>
      <c r="BG64" s="30">
        <f t="shared" si="43"/>
        <v>2040</v>
      </c>
      <c r="BH64" s="30"/>
      <c r="BI64" s="30"/>
      <c r="BJ64" s="30">
        <f t="shared" si="44"/>
        <v>744600</v>
      </c>
      <c r="BK64" s="30">
        <v>10</v>
      </c>
      <c r="BL64" s="30">
        <v>9</v>
      </c>
      <c r="BM64" s="30">
        <v>4.9000000000000004</v>
      </c>
      <c r="BN64" s="30">
        <v>11.9</v>
      </c>
      <c r="BO64" s="35">
        <f t="shared" si="45"/>
        <v>7.9666666666666659</v>
      </c>
      <c r="BP64" s="32">
        <f t="shared" si="46"/>
        <v>1.0898333333333334</v>
      </c>
      <c r="BQ64" s="30"/>
      <c r="BR64" s="30" t="s">
        <v>31</v>
      </c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</row>
    <row r="65" spans="1:81" ht="45">
      <c r="A65" s="61" t="s">
        <v>323</v>
      </c>
      <c r="B65" s="58" t="s">
        <v>325</v>
      </c>
      <c r="C65" s="29" t="s">
        <v>245</v>
      </c>
      <c r="D65" s="30">
        <v>128</v>
      </c>
      <c r="E65" s="31">
        <f t="shared" si="24"/>
        <v>484495</v>
      </c>
      <c r="F65" s="32">
        <f t="shared" si="25"/>
        <v>2.9275945561170897</v>
      </c>
      <c r="G65" s="33">
        <f t="shared" si="26"/>
        <v>123.35975410898571</v>
      </c>
      <c r="H65" s="34">
        <f t="shared" si="27"/>
        <v>8.5394338323807578E-2</v>
      </c>
      <c r="I65" s="35">
        <f t="shared" si="28"/>
        <v>2.5</v>
      </c>
      <c r="J65" s="36">
        <f t="shared" si="48"/>
        <v>123.35975410898571</v>
      </c>
      <c r="K65" s="32">
        <f t="shared" si="30"/>
        <v>2.9275945561170897</v>
      </c>
      <c r="L65" s="34">
        <f t="shared" si="31"/>
        <v>8.1470190800261633E-2</v>
      </c>
      <c r="M65" s="32">
        <f t="shared" si="32"/>
        <v>3.0686070272367294</v>
      </c>
      <c r="N65" s="31">
        <v>484495</v>
      </c>
      <c r="O65" s="31">
        <f>N65*0.9</f>
        <v>436045.5</v>
      </c>
      <c r="P65" s="31">
        <f t="shared" si="33"/>
        <v>1293458.43</v>
      </c>
      <c r="Q65" s="37">
        <f t="shared" si="34"/>
        <v>460270.25</v>
      </c>
      <c r="R65" s="31">
        <f t="shared" si="35"/>
        <v>82848.645000000004</v>
      </c>
      <c r="S65" s="31">
        <f t="shared" si="36"/>
        <v>112128</v>
      </c>
      <c r="T65" s="38">
        <v>0.12</v>
      </c>
      <c r="U65" s="31">
        <f t="shared" si="37"/>
        <v>55232.43</v>
      </c>
      <c r="V65" s="30"/>
      <c r="W65" s="30"/>
      <c r="X65" s="30"/>
      <c r="Y65" s="30">
        <v>25</v>
      </c>
      <c r="Z65" s="30"/>
      <c r="AA65" s="30">
        <v>49.5</v>
      </c>
      <c r="AB65" s="31">
        <f t="shared" si="38"/>
        <v>0</v>
      </c>
      <c r="AC65" s="31">
        <f t="shared" si="39"/>
        <v>0</v>
      </c>
      <c r="AD65" s="31">
        <f t="shared" si="40"/>
        <v>2409</v>
      </c>
      <c r="AE65" s="31">
        <f t="shared" si="47"/>
        <v>1235817</v>
      </c>
      <c r="AF65" s="30">
        <f t="shared" si="41"/>
        <v>216810</v>
      </c>
      <c r="AG65" s="31">
        <f t="shared" si="42"/>
        <v>1235817</v>
      </c>
      <c r="AH65" s="30"/>
      <c r="AI65" s="30">
        <v>5.7</v>
      </c>
      <c r="AJ65" s="30">
        <v>2.1999999999999999E-2</v>
      </c>
      <c r="AK65" s="30"/>
      <c r="AL65" s="30"/>
      <c r="AM65" s="30"/>
      <c r="AN65" s="30" t="s">
        <v>327</v>
      </c>
      <c r="AO65" s="30">
        <v>7.2949999999999999</v>
      </c>
      <c r="AP65" s="30">
        <v>1080</v>
      </c>
      <c r="AQ65" s="30"/>
      <c r="AR65" s="30">
        <v>49.5</v>
      </c>
      <c r="AS65" s="30"/>
      <c r="AT65" s="30"/>
      <c r="AU65" s="30" t="s">
        <v>60</v>
      </c>
      <c r="AV65" s="30">
        <v>25</v>
      </c>
      <c r="AW65" s="45" t="s">
        <v>328</v>
      </c>
      <c r="AX65" s="30" t="s">
        <v>330</v>
      </c>
      <c r="AY65" s="30">
        <v>18</v>
      </c>
      <c r="AZ65" s="30">
        <v>1</v>
      </c>
      <c r="BA65" s="46" t="s">
        <v>332</v>
      </c>
      <c r="BB65" s="30">
        <v>6</v>
      </c>
      <c r="BC65" s="30"/>
      <c r="BD65" s="30"/>
      <c r="BE65" s="30"/>
      <c r="BF65" s="30">
        <v>128</v>
      </c>
      <c r="BG65" s="30">
        <f t="shared" si="43"/>
        <v>1536</v>
      </c>
      <c r="BH65" s="30">
        <v>200</v>
      </c>
      <c r="BI65" s="30">
        <v>300</v>
      </c>
      <c r="BJ65" s="30">
        <f t="shared" si="44"/>
        <v>560640</v>
      </c>
      <c r="BK65" s="30">
        <v>5</v>
      </c>
      <c r="BL65" s="30">
        <v>6</v>
      </c>
      <c r="BM65" s="30">
        <v>2.9</v>
      </c>
      <c r="BN65" s="30">
        <v>1.8</v>
      </c>
      <c r="BO65" s="35">
        <f t="shared" si="45"/>
        <v>4.6333333333333337</v>
      </c>
      <c r="BP65" s="32">
        <f t="shared" si="46"/>
        <v>1.0481666666666667</v>
      </c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</row>
    <row r="66" spans="1:81" ht="45">
      <c r="A66" s="58" t="s">
        <v>21</v>
      </c>
      <c r="B66" s="58" t="s">
        <v>314</v>
      </c>
      <c r="C66" s="29" t="s">
        <v>245</v>
      </c>
      <c r="D66" s="30">
        <v>135</v>
      </c>
      <c r="E66" s="31">
        <f t="shared" si="24"/>
        <v>750000</v>
      </c>
      <c r="F66" s="32">
        <f t="shared" si="25"/>
        <v>2.9753216918443113</v>
      </c>
      <c r="G66" s="33">
        <f t="shared" si="26"/>
        <v>130.84330902357061</v>
      </c>
      <c r="H66" s="34">
        <f t="shared" si="27"/>
        <v>8.4024527729313403E-2</v>
      </c>
      <c r="I66" s="35">
        <f t="shared" si="28"/>
        <v>2.5</v>
      </c>
      <c r="J66" s="36">
        <f t="shared" si="48"/>
        <v>130.84330902357061</v>
      </c>
      <c r="K66" s="32">
        <f t="shared" si="30"/>
        <v>2.9753216918443113</v>
      </c>
      <c r="L66" s="34">
        <f t="shared" si="31"/>
        <v>7.890861893502589E-2</v>
      </c>
      <c r="M66" s="32">
        <f t="shared" si="32"/>
        <v>3.1682217148655507</v>
      </c>
      <c r="N66" s="31">
        <v>750000</v>
      </c>
      <c r="O66" s="31">
        <f>N66*0.9</f>
        <v>675000</v>
      </c>
      <c r="P66" s="31">
        <f t="shared" si="33"/>
        <v>1370445.6</v>
      </c>
      <c r="Q66" s="37">
        <f t="shared" si="34"/>
        <v>712500</v>
      </c>
      <c r="R66" s="31">
        <f t="shared" si="35"/>
        <v>128250</v>
      </c>
      <c r="S66" s="31">
        <f t="shared" si="36"/>
        <v>118260</v>
      </c>
      <c r="T66" s="38">
        <v>0.1</v>
      </c>
      <c r="U66" s="31">
        <f t="shared" si="37"/>
        <v>71250</v>
      </c>
      <c r="V66" s="30"/>
      <c r="W66" s="30"/>
      <c r="X66" s="30"/>
      <c r="Y66" s="30">
        <v>10</v>
      </c>
      <c r="Z66" s="30"/>
      <c r="AA66" s="30">
        <v>52</v>
      </c>
      <c r="AB66" s="31">
        <f t="shared" si="38"/>
        <v>0</v>
      </c>
      <c r="AC66" s="31">
        <f t="shared" si="39"/>
        <v>0</v>
      </c>
      <c r="AD66" s="31">
        <f t="shared" si="40"/>
        <v>963.59999999999991</v>
      </c>
      <c r="AE66" s="31">
        <f t="shared" si="47"/>
        <v>1298232</v>
      </c>
      <c r="AF66" s="30">
        <f t="shared" si="41"/>
        <v>227760</v>
      </c>
      <c r="AG66" s="31">
        <f t="shared" si="42"/>
        <v>1298232</v>
      </c>
      <c r="AH66" s="30"/>
      <c r="AI66" s="30">
        <v>5.7</v>
      </c>
      <c r="AJ66" s="30">
        <v>2.1999999999999999E-2</v>
      </c>
      <c r="AK66" s="30"/>
      <c r="AL66" s="30"/>
      <c r="AM66" s="30"/>
      <c r="AN66" s="42" t="s">
        <v>316</v>
      </c>
      <c r="AO66" s="30">
        <v>7.1821890000000002</v>
      </c>
      <c r="AP66" s="30">
        <v>1230</v>
      </c>
      <c r="AQ66" s="30"/>
      <c r="AR66" s="30"/>
      <c r="AS66" s="30"/>
      <c r="AT66" s="30"/>
      <c r="AU66" s="30" t="s">
        <v>221</v>
      </c>
      <c r="AV66" s="30">
        <v>35</v>
      </c>
      <c r="AW66" s="42" t="s">
        <v>318</v>
      </c>
      <c r="AX66" s="30"/>
      <c r="AY66" s="30">
        <v>20</v>
      </c>
      <c r="AZ66" s="30"/>
      <c r="BA66" s="30" t="s">
        <v>319</v>
      </c>
      <c r="BB66" s="30">
        <v>7.1</v>
      </c>
      <c r="BC66" s="30"/>
      <c r="BD66" s="30"/>
      <c r="BE66" s="30"/>
      <c r="BF66" s="30">
        <v>135</v>
      </c>
      <c r="BG66" s="30">
        <f t="shared" si="43"/>
        <v>1620</v>
      </c>
      <c r="BH66" s="30">
        <v>144</v>
      </c>
      <c r="BI66" s="30">
        <v>288</v>
      </c>
      <c r="BJ66" s="30">
        <f t="shared" si="44"/>
        <v>591300</v>
      </c>
      <c r="BK66" s="30">
        <v>7</v>
      </c>
      <c r="BL66" s="30">
        <v>7</v>
      </c>
      <c r="BM66" s="30">
        <v>3.9</v>
      </c>
      <c r="BN66" s="30">
        <v>28.4</v>
      </c>
      <c r="BO66" s="35">
        <f t="shared" si="45"/>
        <v>5.9666666666666659</v>
      </c>
      <c r="BP66" s="32">
        <f t="shared" si="46"/>
        <v>1.0648333333333333</v>
      </c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</row>
    <row r="67" spans="1:81" ht="45">
      <c r="A67" s="58" t="s">
        <v>130</v>
      </c>
      <c r="B67" s="58" t="s">
        <v>125</v>
      </c>
      <c r="C67" s="29" t="s">
        <v>223</v>
      </c>
      <c r="D67" s="30">
        <v>120</v>
      </c>
      <c r="E67" s="31">
        <f t="shared" ref="E67:E88" si="49">N67</f>
        <v>1296134</v>
      </c>
      <c r="F67" s="32">
        <f t="shared" ref="F67:F88" si="50">(P67+R67)/(0.8*BP67*S67/0.2)</f>
        <v>2.9992409855144775</v>
      </c>
      <c r="G67" s="33">
        <f t="shared" ref="G67:G88" si="51">IF(I67-K67&gt;0,Q67/(30*(I67-K67)*BG67),100-Q67/(30*(I67-K67)*BG67))</f>
        <v>156.79207451443867</v>
      </c>
      <c r="H67" s="34">
        <f t="shared" ref="H67:H88" si="52">S67*BP67/(P67+R67)</f>
        <v>8.3354422404679177E-2</v>
      </c>
      <c r="I67" s="35">
        <f t="shared" ref="I67:I88" si="53">$I$2</f>
        <v>2.5</v>
      </c>
      <c r="J67" s="36">
        <f t="shared" si="48"/>
        <v>156.79207451443867</v>
      </c>
      <c r="K67" s="32">
        <f t="shared" ref="K67:K88" si="54">(P67+R67)/(0.8*BP67*S67/0.2)</f>
        <v>2.9992409855144775</v>
      </c>
      <c r="L67" s="34">
        <f t="shared" ref="L67:L88" si="55">S67/(P67+R67)</f>
        <v>7.9033902406459397E-2</v>
      </c>
      <c r="M67" s="32">
        <f t="shared" ref="M67:M88" si="56">(P67+R67)/(0.8*S67/0.2)</f>
        <v>3.1631994927226019</v>
      </c>
      <c r="N67" s="31">
        <v>1296134</v>
      </c>
      <c r="O67" s="31">
        <f>N67*0.89</f>
        <v>1153559.26</v>
      </c>
      <c r="P67" s="31">
        <f t="shared" ref="P67:P88" si="57">AB67+AC67+AE67+U67+AD67</f>
        <v>1109589.7292999998</v>
      </c>
      <c r="Q67" s="37">
        <f t="shared" ref="Q67:Q88" si="58">(N67+O67)/2</f>
        <v>1224846.6299999999</v>
      </c>
      <c r="R67" s="31">
        <f t="shared" ref="R67:R88" si="59">Q67*18%</f>
        <v>220472.39339999997</v>
      </c>
      <c r="S67" s="31">
        <f t="shared" ref="S67:S88" si="60">BF67*365*12*0.2</f>
        <v>105120</v>
      </c>
      <c r="T67" s="38">
        <v>0.11</v>
      </c>
      <c r="U67" s="31">
        <f t="shared" ref="U67:U88" si="61">Q67*T67</f>
        <v>134733.1293</v>
      </c>
      <c r="V67" s="30"/>
      <c r="W67" s="30"/>
      <c r="X67" s="30">
        <v>6</v>
      </c>
      <c r="Y67" s="30">
        <v>15</v>
      </c>
      <c r="Z67" s="30"/>
      <c r="AA67" s="30">
        <v>3.2</v>
      </c>
      <c r="AB67" s="31">
        <f t="shared" ref="AB67:AB88" si="62">W67*365*12*AL67</f>
        <v>0</v>
      </c>
      <c r="AC67" s="31">
        <f t="shared" ref="AC67:AC88" si="63">X67*365*12*AK67</f>
        <v>893520</v>
      </c>
      <c r="AD67" s="31">
        <f t="shared" ref="AD67:AD88" si="64">Y67*365*12*AJ67</f>
        <v>1445.3999999999999</v>
      </c>
      <c r="AE67" s="31">
        <f t="shared" si="47"/>
        <v>79891.199999999997</v>
      </c>
      <c r="AF67" s="30">
        <f t="shared" ref="AF67:AF88" si="65">AA67*365*12</f>
        <v>14016</v>
      </c>
      <c r="AG67" s="31">
        <f t="shared" ref="AG67:AG88" si="66">AF67*AI67</f>
        <v>79891.199999999997</v>
      </c>
      <c r="AH67" s="30"/>
      <c r="AI67" s="30">
        <v>5.7</v>
      </c>
      <c r="AJ67" s="30">
        <v>2.1999999999999999E-2</v>
      </c>
      <c r="AK67" s="30">
        <v>34</v>
      </c>
      <c r="AL67" s="30"/>
      <c r="AM67" s="30"/>
      <c r="AN67" s="30" t="s">
        <v>119</v>
      </c>
      <c r="AO67" s="30">
        <v>7.3113599999999996</v>
      </c>
      <c r="AP67" s="30">
        <v>1700</v>
      </c>
      <c r="AQ67" s="30"/>
      <c r="AR67" s="30">
        <v>45</v>
      </c>
      <c r="AS67" s="30" t="s">
        <v>120</v>
      </c>
      <c r="AT67" s="30"/>
      <c r="AU67" s="30"/>
      <c r="AV67" s="30">
        <v>22</v>
      </c>
      <c r="AW67" s="30"/>
      <c r="AX67" s="30" t="s">
        <v>121</v>
      </c>
      <c r="AY67" s="30">
        <v>15</v>
      </c>
      <c r="AZ67" s="30">
        <v>1</v>
      </c>
      <c r="BA67" s="30" t="s">
        <v>36</v>
      </c>
      <c r="BB67" s="30">
        <v>7.2</v>
      </c>
      <c r="BC67" s="30"/>
      <c r="BD67" s="30"/>
      <c r="BE67" s="30"/>
      <c r="BF67" s="30">
        <v>120</v>
      </c>
      <c r="BG67" s="30">
        <f t="shared" ref="BG67:BG88" si="67">BF67*12</f>
        <v>1440</v>
      </c>
      <c r="BH67" s="30"/>
      <c r="BI67" s="30"/>
      <c r="BJ67" s="30">
        <f t="shared" ref="BJ67:BJ88" si="68">BG67*365</f>
        <v>525600</v>
      </c>
      <c r="BK67" s="30">
        <v>6</v>
      </c>
      <c r="BL67" s="30">
        <v>6</v>
      </c>
      <c r="BM67" s="30">
        <v>2.8</v>
      </c>
      <c r="BN67" s="30">
        <v>1</v>
      </c>
      <c r="BO67" s="35">
        <f t="shared" ref="BO67:BO88" si="69">(BM67+BL67+BK67)/3</f>
        <v>4.9333333333333336</v>
      </c>
      <c r="BP67" s="32">
        <f t="shared" ref="BP67:BP88" si="70">1+(BO67+BK67)/200</f>
        <v>1.0546666666666666</v>
      </c>
      <c r="BQ67" s="30" t="s">
        <v>305</v>
      </c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</row>
    <row r="68" spans="1:81" ht="45">
      <c r="A68" s="58" t="s">
        <v>141</v>
      </c>
      <c r="B68" s="58" t="s">
        <v>152</v>
      </c>
      <c r="C68" s="29" t="s">
        <v>223</v>
      </c>
      <c r="D68" s="30">
        <v>150</v>
      </c>
      <c r="E68" s="31">
        <f t="shared" si="49"/>
        <v>1511839</v>
      </c>
      <c r="F68" s="32">
        <f t="shared" si="50"/>
        <v>3.0333003916508177</v>
      </c>
      <c r="G68" s="33">
        <f t="shared" si="51"/>
        <v>149.61028139901128</v>
      </c>
      <c r="H68" s="34">
        <f t="shared" si="52"/>
        <v>8.2418477473621424E-2</v>
      </c>
      <c r="I68" s="35">
        <f t="shared" si="53"/>
        <v>2.5</v>
      </c>
      <c r="J68" s="36">
        <f t="shared" si="48"/>
        <v>149.61028139901128</v>
      </c>
      <c r="K68" s="32">
        <f t="shared" si="54"/>
        <v>3.0333003916508177</v>
      </c>
      <c r="L68" s="34">
        <f t="shared" si="55"/>
        <v>7.8282549444630145E-2</v>
      </c>
      <c r="M68" s="32">
        <f t="shared" si="56"/>
        <v>3.1935597623430363</v>
      </c>
      <c r="N68" s="31">
        <v>1511839</v>
      </c>
      <c r="O68" s="31">
        <f>N68*0.89</f>
        <v>1345536.71</v>
      </c>
      <c r="P68" s="31">
        <f t="shared" si="57"/>
        <v>1421371.1971874998</v>
      </c>
      <c r="Q68" s="37">
        <f t="shared" si="58"/>
        <v>1428687.855</v>
      </c>
      <c r="R68" s="31">
        <f t="shared" si="59"/>
        <v>257163.81389999998</v>
      </c>
      <c r="S68" s="31">
        <f t="shared" si="60"/>
        <v>131400</v>
      </c>
      <c r="T68" s="38">
        <v>9.8214285714285698E-2</v>
      </c>
      <c r="U68" s="31">
        <f t="shared" si="61"/>
        <v>140317.55718749997</v>
      </c>
      <c r="V68" s="30"/>
      <c r="W68" s="30"/>
      <c r="X68" s="30">
        <v>8</v>
      </c>
      <c r="Y68" s="30">
        <v>24</v>
      </c>
      <c r="Z68" s="30"/>
      <c r="AA68" s="30">
        <v>3.5</v>
      </c>
      <c r="AB68" s="31">
        <f t="shared" si="62"/>
        <v>0</v>
      </c>
      <c r="AC68" s="31">
        <f t="shared" si="63"/>
        <v>1191360</v>
      </c>
      <c r="AD68" s="31">
        <f t="shared" si="64"/>
        <v>2312.64</v>
      </c>
      <c r="AE68" s="31">
        <f t="shared" si="47"/>
        <v>87381</v>
      </c>
      <c r="AF68" s="30">
        <f t="shared" si="65"/>
        <v>15330</v>
      </c>
      <c r="AG68" s="31">
        <f t="shared" si="66"/>
        <v>87381</v>
      </c>
      <c r="AH68" s="30"/>
      <c r="AI68" s="30">
        <v>5.7</v>
      </c>
      <c r="AJ68" s="30">
        <v>2.1999999999999999E-2</v>
      </c>
      <c r="AK68" s="30">
        <v>34</v>
      </c>
      <c r="AL68" s="30"/>
      <c r="AM68" s="30"/>
      <c r="AN68" s="30" t="s">
        <v>149</v>
      </c>
      <c r="AO68" s="30">
        <v>11.00925</v>
      </c>
      <c r="AP68" s="30">
        <v>2300</v>
      </c>
      <c r="AQ68" s="30"/>
      <c r="AR68" s="30">
        <v>80</v>
      </c>
      <c r="AS68" s="30"/>
      <c r="AT68" s="30"/>
      <c r="AU68" s="30" t="s">
        <v>140</v>
      </c>
      <c r="AV68" s="30"/>
      <c r="AW68" s="30"/>
      <c r="AX68" s="30" t="s">
        <v>148</v>
      </c>
      <c r="AY68" s="30">
        <v>17</v>
      </c>
      <c r="AZ68" s="30">
        <v>1</v>
      </c>
      <c r="BA68" s="30" t="s">
        <v>82</v>
      </c>
      <c r="BB68" s="30" t="s">
        <v>150</v>
      </c>
      <c r="BC68" s="30"/>
      <c r="BD68" s="30"/>
      <c r="BE68" s="30"/>
      <c r="BF68" s="30">
        <v>150</v>
      </c>
      <c r="BG68" s="30">
        <f t="shared" si="67"/>
        <v>1800</v>
      </c>
      <c r="BH68" s="30"/>
      <c r="BI68" s="30"/>
      <c r="BJ68" s="30">
        <f t="shared" si="68"/>
        <v>657000</v>
      </c>
      <c r="BK68" s="30">
        <v>6</v>
      </c>
      <c r="BL68" s="30">
        <v>5</v>
      </c>
      <c r="BM68" s="30">
        <v>2.7</v>
      </c>
      <c r="BN68" s="30">
        <v>1</v>
      </c>
      <c r="BO68" s="35">
        <f t="shared" si="69"/>
        <v>4.5666666666666664</v>
      </c>
      <c r="BP68" s="32">
        <f t="shared" si="70"/>
        <v>1.0528333333333333</v>
      </c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</row>
    <row r="69" spans="1:81" ht="45">
      <c r="A69" s="58" t="s">
        <v>333</v>
      </c>
      <c r="B69" s="58" t="s">
        <v>334</v>
      </c>
      <c r="C69" s="29" t="s">
        <v>245</v>
      </c>
      <c r="D69" s="30">
        <v>120</v>
      </c>
      <c r="E69" s="31">
        <f t="shared" si="49"/>
        <v>1766972</v>
      </c>
      <c r="F69" s="32">
        <f t="shared" si="50"/>
        <v>3.0715602572239558</v>
      </c>
      <c r="G69" s="33">
        <f t="shared" si="51"/>
        <v>169.05755708820521</v>
      </c>
      <c r="H69" s="34">
        <f t="shared" si="52"/>
        <v>8.1391859206417602E-2</v>
      </c>
      <c r="I69" s="35">
        <f t="shared" si="53"/>
        <v>2.5</v>
      </c>
      <c r="J69" s="36">
        <f t="shared" si="48"/>
        <v>169.05755708820521</v>
      </c>
      <c r="K69" s="32">
        <f t="shared" si="54"/>
        <v>3.0715602572239558</v>
      </c>
      <c r="L69" s="34">
        <f t="shared" si="55"/>
        <v>7.5421027836062637E-2</v>
      </c>
      <c r="M69" s="32">
        <f t="shared" si="56"/>
        <v>3.3147254442541851</v>
      </c>
      <c r="N69" s="31">
        <v>1766972</v>
      </c>
      <c r="O69" s="31">
        <f>N69*0.93</f>
        <v>1643283.9600000002</v>
      </c>
      <c r="P69" s="31">
        <f t="shared" si="57"/>
        <v>1086852.7183999999</v>
      </c>
      <c r="Q69" s="37">
        <f t="shared" si="58"/>
        <v>1705127.98</v>
      </c>
      <c r="R69" s="31">
        <f t="shared" si="59"/>
        <v>306923.03639999998</v>
      </c>
      <c r="S69" s="30">
        <f t="shared" si="60"/>
        <v>105120</v>
      </c>
      <c r="T69" s="38">
        <v>0.08</v>
      </c>
      <c r="U69" s="31">
        <f t="shared" si="61"/>
        <v>136410.2384</v>
      </c>
      <c r="V69" s="30"/>
      <c r="W69" s="30"/>
      <c r="X69" s="30"/>
      <c r="Y69" s="30">
        <v>18</v>
      </c>
      <c r="Z69" s="30"/>
      <c r="AA69" s="46">
        <v>38</v>
      </c>
      <c r="AB69" s="31">
        <f t="shared" si="62"/>
        <v>0</v>
      </c>
      <c r="AC69" s="31">
        <f t="shared" si="63"/>
        <v>0</v>
      </c>
      <c r="AD69" s="31">
        <f t="shared" si="64"/>
        <v>1734.4799999999998</v>
      </c>
      <c r="AE69" s="31">
        <f t="shared" si="47"/>
        <v>948708</v>
      </c>
      <c r="AF69" s="30">
        <f t="shared" si="65"/>
        <v>166440</v>
      </c>
      <c r="AG69" s="31">
        <f t="shared" si="66"/>
        <v>948708</v>
      </c>
      <c r="AH69" s="30"/>
      <c r="AI69" s="30">
        <v>5.7</v>
      </c>
      <c r="AJ69" s="30">
        <v>2.1999999999999999E-2</v>
      </c>
      <c r="AK69" s="30">
        <v>34</v>
      </c>
      <c r="AL69" s="30">
        <v>6</v>
      </c>
      <c r="AM69" s="30"/>
      <c r="AN69" s="46" t="s">
        <v>335</v>
      </c>
      <c r="AO69" s="30">
        <v>7.2329999999999997</v>
      </c>
      <c r="AP69" s="30">
        <v>1086</v>
      </c>
      <c r="AQ69" s="30"/>
      <c r="AR69" s="46" t="s">
        <v>336</v>
      </c>
      <c r="AS69" s="30"/>
      <c r="AT69" s="30"/>
      <c r="AU69" s="30"/>
      <c r="AV69" s="30"/>
      <c r="AW69" s="30"/>
      <c r="AX69" s="30"/>
      <c r="AY69" s="30">
        <v>18</v>
      </c>
      <c r="AZ69" s="30">
        <v>1</v>
      </c>
      <c r="BA69" s="46" t="s">
        <v>337</v>
      </c>
      <c r="BB69" s="47">
        <v>8.64</v>
      </c>
      <c r="BC69" s="30">
        <v>30</v>
      </c>
      <c r="BD69" s="30"/>
      <c r="BE69" s="30"/>
      <c r="BF69" s="30">
        <v>120</v>
      </c>
      <c r="BG69" s="30">
        <f t="shared" si="67"/>
        <v>1440</v>
      </c>
      <c r="BH69" s="30">
        <v>250</v>
      </c>
      <c r="BI69" s="30">
        <v>300</v>
      </c>
      <c r="BJ69" s="30">
        <f t="shared" si="68"/>
        <v>525600</v>
      </c>
      <c r="BK69" s="30">
        <v>9</v>
      </c>
      <c r="BL69" s="30">
        <v>7</v>
      </c>
      <c r="BM69" s="30">
        <v>4.5</v>
      </c>
      <c r="BN69" s="30">
        <v>5</v>
      </c>
      <c r="BO69" s="35">
        <f t="shared" si="69"/>
        <v>6.833333333333333</v>
      </c>
      <c r="BP69" s="32">
        <f t="shared" si="70"/>
        <v>1.0791666666666666</v>
      </c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</row>
    <row r="70" spans="1:81" ht="45">
      <c r="A70" s="58" t="s">
        <v>21</v>
      </c>
      <c r="B70" s="58" t="s">
        <v>62</v>
      </c>
      <c r="C70" s="29" t="s">
        <v>245</v>
      </c>
      <c r="D70" s="30">
        <v>180</v>
      </c>
      <c r="E70" s="31">
        <f t="shared" si="49"/>
        <v>790000</v>
      </c>
      <c r="F70" s="32">
        <f t="shared" si="50"/>
        <v>3.1030362664330076</v>
      </c>
      <c r="G70" s="33">
        <f t="shared" si="51"/>
        <v>119.20579369457116</v>
      </c>
      <c r="H70" s="34">
        <f t="shared" si="52"/>
        <v>8.0566251417802201E-2</v>
      </c>
      <c r="I70" s="35">
        <f t="shared" si="53"/>
        <v>2.5</v>
      </c>
      <c r="J70" s="36">
        <f t="shared" si="48"/>
        <v>119.20579369457116</v>
      </c>
      <c r="K70" s="32">
        <f t="shared" si="54"/>
        <v>3.1030362664330076</v>
      </c>
      <c r="L70" s="34">
        <f t="shared" si="55"/>
        <v>7.5660902881016318E-2</v>
      </c>
      <c r="M70" s="32">
        <f t="shared" si="56"/>
        <v>3.3042164510400811</v>
      </c>
      <c r="N70" s="31">
        <v>790000</v>
      </c>
      <c r="O70" s="31">
        <f>N70*0.9</f>
        <v>711000</v>
      </c>
      <c r="P70" s="31">
        <f t="shared" si="57"/>
        <v>1948945.4</v>
      </c>
      <c r="Q70" s="37">
        <f t="shared" si="58"/>
        <v>750500</v>
      </c>
      <c r="R70" s="31">
        <f t="shared" si="59"/>
        <v>135090</v>
      </c>
      <c r="S70" s="31">
        <f t="shared" si="60"/>
        <v>157680</v>
      </c>
      <c r="T70" s="38">
        <v>0.1</v>
      </c>
      <c r="U70" s="31">
        <f t="shared" si="61"/>
        <v>75050</v>
      </c>
      <c r="V70" s="30"/>
      <c r="W70" s="30"/>
      <c r="X70" s="30"/>
      <c r="Y70" s="30">
        <v>15</v>
      </c>
      <c r="Z70" s="30"/>
      <c r="AA70" s="30">
        <v>75</v>
      </c>
      <c r="AB70" s="31">
        <f t="shared" si="62"/>
        <v>0</v>
      </c>
      <c r="AC70" s="31">
        <f t="shared" si="63"/>
        <v>0</v>
      </c>
      <c r="AD70" s="31">
        <f t="shared" si="64"/>
        <v>1445.3999999999999</v>
      </c>
      <c r="AE70" s="31">
        <f t="shared" si="47"/>
        <v>1872450</v>
      </c>
      <c r="AF70" s="30">
        <f t="shared" si="65"/>
        <v>328500</v>
      </c>
      <c r="AG70" s="31">
        <f t="shared" si="66"/>
        <v>1872450</v>
      </c>
      <c r="AH70" s="30"/>
      <c r="AI70" s="30">
        <v>5.7</v>
      </c>
      <c r="AJ70" s="30">
        <v>2.1999999999999999E-2</v>
      </c>
      <c r="AK70" s="30"/>
      <c r="AL70" s="30"/>
      <c r="AM70" s="30"/>
      <c r="AN70" s="30" t="s">
        <v>173</v>
      </c>
      <c r="AO70" s="30">
        <v>10.42219255</v>
      </c>
      <c r="AP70" s="30">
        <v>1730</v>
      </c>
      <c r="AQ70" s="30"/>
      <c r="AR70" s="30">
        <v>75</v>
      </c>
      <c r="AS70" s="30"/>
      <c r="AT70" s="30"/>
      <c r="AU70" s="30" t="s">
        <v>60</v>
      </c>
      <c r="AV70" s="30">
        <v>20</v>
      </c>
      <c r="AW70" s="30" t="s">
        <v>65</v>
      </c>
      <c r="AX70" s="30" t="s">
        <v>23</v>
      </c>
      <c r="AY70" s="30">
        <v>24</v>
      </c>
      <c r="AZ70" s="30">
        <v>1</v>
      </c>
      <c r="BA70" s="30" t="s">
        <v>36</v>
      </c>
      <c r="BB70" s="30">
        <v>9.6999999999999993</v>
      </c>
      <c r="BC70" s="30">
        <v>100</v>
      </c>
      <c r="BD70" s="30"/>
      <c r="BE70" s="30"/>
      <c r="BF70" s="30">
        <v>180</v>
      </c>
      <c r="BG70" s="30">
        <f t="shared" si="67"/>
        <v>2160</v>
      </c>
      <c r="BH70" s="30">
        <v>252</v>
      </c>
      <c r="BI70" s="30">
        <v>504</v>
      </c>
      <c r="BJ70" s="30">
        <f t="shared" si="68"/>
        <v>788400</v>
      </c>
      <c r="BK70" s="30">
        <v>7</v>
      </c>
      <c r="BL70" s="30">
        <v>7</v>
      </c>
      <c r="BM70" s="30">
        <v>3.9</v>
      </c>
      <c r="BN70" s="30">
        <v>28.4</v>
      </c>
      <c r="BO70" s="35">
        <f t="shared" si="69"/>
        <v>5.9666666666666659</v>
      </c>
      <c r="BP70" s="32">
        <f t="shared" si="70"/>
        <v>1.0648333333333333</v>
      </c>
      <c r="BQ70" s="30" t="s">
        <v>305</v>
      </c>
      <c r="BR70" s="30"/>
      <c r="BS70" s="30"/>
      <c r="BT70" s="30"/>
      <c r="BU70" s="30"/>
      <c r="BV70" s="30"/>
      <c r="BW70" s="30" t="s">
        <v>53</v>
      </c>
      <c r="BX70" s="30"/>
      <c r="BY70" s="30"/>
      <c r="BZ70" s="30"/>
      <c r="CA70" s="30"/>
      <c r="CB70" s="30"/>
      <c r="CC70" s="30"/>
    </row>
    <row r="71" spans="1:81" ht="45">
      <c r="A71" s="58" t="s">
        <v>34</v>
      </c>
      <c r="B71" s="58" t="s">
        <v>103</v>
      </c>
      <c r="C71" s="29" t="s">
        <v>245</v>
      </c>
      <c r="D71" s="30">
        <v>170</v>
      </c>
      <c r="E71" s="31">
        <f t="shared" si="49"/>
        <v>2553790</v>
      </c>
      <c r="F71" s="32">
        <f t="shared" si="50"/>
        <v>3.1065120650574629</v>
      </c>
      <c r="G71" s="33">
        <f t="shared" si="51"/>
        <v>166.39289846679839</v>
      </c>
      <c r="H71" s="34">
        <f t="shared" si="52"/>
        <v>8.0476107854863782E-2</v>
      </c>
      <c r="I71" s="35">
        <f t="shared" si="53"/>
        <v>2.5</v>
      </c>
      <c r="J71" s="36">
        <f t="shared" si="48"/>
        <v>166.39289846679839</v>
      </c>
      <c r="K71" s="32">
        <f t="shared" si="54"/>
        <v>3.1065120650574629</v>
      </c>
      <c r="L71" s="34">
        <f t="shared" si="55"/>
        <v>7.385387689342042E-2</v>
      </c>
      <c r="M71" s="32">
        <f t="shared" si="56"/>
        <v>3.3850626468909484</v>
      </c>
      <c r="N71" s="31">
        <v>2553790</v>
      </c>
      <c r="O71" s="31">
        <f>N71*0.93</f>
        <v>2375024.7000000002</v>
      </c>
      <c r="P71" s="31">
        <f t="shared" si="57"/>
        <v>1572820.7945000001</v>
      </c>
      <c r="Q71" s="37">
        <f t="shared" si="58"/>
        <v>2464407.35</v>
      </c>
      <c r="R71" s="31">
        <f t="shared" si="59"/>
        <v>443593.32299999997</v>
      </c>
      <c r="S71" s="31">
        <f t="shared" si="60"/>
        <v>148920</v>
      </c>
      <c r="T71" s="38">
        <v>7.0000000000000007E-2</v>
      </c>
      <c r="U71" s="31">
        <f t="shared" si="61"/>
        <v>172508.51450000002</v>
      </c>
      <c r="V71" s="30"/>
      <c r="W71" s="30"/>
      <c r="X71" s="30"/>
      <c r="Y71" s="30">
        <v>23</v>
      </c>
      <c r="Z71" s="30"/>
      <c r="AA71" s="30">
        <v>56</v>
      </c>
      <c r="AB71" s="31">
        <f t="shared" si="62"/>
        <v>0</v>
      </c>
      <c r="AC71" s="31">
        <f t="shared" si="63"/>
        <v>0</v>
      </c>
      <c r="AD71" s="31">
        <f t="shared" si="64"/>
        <v>2216.2799999999997</v>
      </c>
      <c r="AE71" s="31">
        <f t="shared" ref="AE71:AE88" si="71">AA71*365*12*AI71</f>
        <v>1398096</v>
      </c>
      <c r="AF71" s="30">
        <f t="shared" si="65"/>
        <v>245280</v>
      </c>
      <c r="AG71" s="31">
        <f t="shared" si="66"/>
        <v>1398096</v>
      </c>
      <c r="AH71" s="30"/>
      <c r="AI71" s="30">
        <v>5.7</v>
      </c>
      <c r="AJ71" s="30">
        <v>2.1999999999999999E-2</v>
      </c>
      <c r="AK71" s="30"/>
      <c r="AL71" s="30"/>
      <c r="AM71" s="30"/>
      <c r="AN71" s="30" t="s">
        <v>95</v>
      </c>
      <c r="AO71" s="30">
        <v>11.611953359999999</v>
      </c>
      <c r="AP71" s="30">
        <v>1840</v>
      </c>
      <c r="AQ71" s="30"/>
      <c r="AR71" s="30">
        <v>100</v>
      </c>
      <c r="AS71" s="30"/>
      <c r="AT71" s="30"/>
      <c r="AU71" s="30" t="s">
        <v>94</v>
      </c>
      <c r="AV71" s="30"/>
      <c r="AW71" s="30"/>
      <c r="AX71" s="30" t="s">
        <v>55</v>
      </c>
      <c r="AY71" s="30"/>
      <c r="AZ71" s="30">
        <v>1</v>
      </c>
      <c r="BA71" s="30" t="s">
        <v>93</v>
      </c>
      <c r="BB71" s="30">
        <v>14</v>
      </c>
      <c r="BC71" s="30">
        <v>500</v>
      </c>
      <c r="BD71" s="30"/>
      <c r="BE71" s="30"/>
      <c r="BF71" s="30">
        <v>170</v>
      </c>
      <c r="BG71" s="30">
        <f t="shared" si="67"/>
        <v>2040</v>
      </c>
      <c r="BH71" s="30"/>
      <c r="BI71" s="30"/>
      <c r="BJ71" s="30">
        <f t="shared" si="68"/>
        <v>744600</v>
      </c>
      <c r="BK71" s="30">
        <v>10</v>
      </c>
      <c r="BL71" s="30">
        <v>9</v>
      </c>
      <c r="BM71" s="30">
        <v>4.8</v>
      </c>
      <c r="BN71" s="30">
        <v>9</v>
      </c>
      <c r="BO71" s="35">
        <f t="shared" si="69"/>
        <v>7.9333333333333336</v>
      </c>
      <c r="BP71" s="32">
        <f t="shared" si="70"/>
        <v>1.0896666666666666</v>
      </c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</row>
    <row r="72" spans="1:81" ht="45">
      <c r="A72" s="58" t="s">
        <v>130</v>
      </c>
      <c r="B72" s="58" t="s">
        <v>135</v>
      </c>
      <c r="C72" s="29" t="s">
        <v>223</v>
      </c>
      <c r="D72" s="30">
        <v>140</v>
      </c>
      <c r="E72" s="31">
        <f t="shared" si="49"/>
        <v>1604738</v>
      </c>
      <c r="F72" s="32">
        <f t="shared" si="50"/>
        <v>3.1102416574999192</v>
      </c>
      <c r="G72" s="33">
        <f t="shared" si="51"/>
        <v>149.30642988757938</v>
      </c>
      <c r="H72" s="34">
        <f t="shared" si="52"/>
        <v>8.0379606323244826E-2</v>
      </c>
      <c r="I72" s="35">
        <f t="shared" si="53"/>
        <v>2.5</v>
      </c>
      <c r="J72" s="36">
        <f t="shared" si="48"/>
        <v>149.30642988757938</v>
      </c>
      <c r="K72" s="32">
        <f t="shared" si="54"/>
        <v>3.1102416574999192</v>
      </c>
      <c r="L72" s="34">
        <f t="shared" si="55"/>
        <v>7.6213280331774491E-2</v>
      </c>
      <c r="M72" s="32">
        <f t="shared" si="56"/>
        <v>3.2802682014432483</v>
      </c>
      <c r="N72" s="31">
        <v>1604738</v>
      </c>
      <c r="O72" s="31">
        <f>N72*0.89</f>
        <v>1428216.82</v>
      </c>
      <c r="P72" s="31">
        <f t="shared" si="57"/>
        <v>1336202.4350999999</v>
      </c>
      <c r="Q72" s="37">
        <f t="shared" si="58"/>
        <v>1516477.4100000001</v>
      </c>
      <c r="R72" s="31">
        <f t="shared" si="59"/>
        <v>272965.9338</v>
      </c>
      <c r="S72" s="31">
        <f t="shared" si="60"/>
        <v>122640</v>
      </c>
      <c r="T72" s="38">
        <v>0.11</v>
      </c>
      <c r="U72" s="31">
        <f t="shared" si="61"/>
        <v>166812.51510000002</v>
      </c>
      <c r="V72" s="30"/>
      <c r="W72" s="30"/>
      <c r="X72" s="30">
        <v>7</v>
      </c>
      <c r="Y72" s="30">
        <v>22</v>
      </c>
      <c r="Z72" s="30"/>
      <c r="AA72" s="30">
        <v>5</v>
      </c>
      <c r="AB72" s="31">
        <f t="shared" si="62"/>
        <v>0</v>
      </c>
      <c r="AC72" s="31">
        <f t="shared" si="63"/>
        <v>1042440</v>
      </c>
      <c r="AD72" s="31">
        <f t="shared" si="64"/>
        <v>2119.92</v>
      </c>
      <c r="AE72" s="31">
        <f t="shared" si="71"/>
        <v>124830</v>
      </c>
      <c r="AF72" s="30">
        <f t="shared" si="65"/>
        <v>21900</v>
      </c>
      <c r="AG72" s="31">
        <f t="shared" si="66"/>
        <v>124830</v>
      </c>
      <c r="AH72" s="30"/>
      <c r="AI72" s="30">
        <v>5.7</v>
      </c>
      <c r="AJ72" s="30">
        <v>2.1999999999999999E-2</v>
      </c>
      <c r="AK72" s="30">
        <v>34</v>
      </c>
      <c r="AL72" s="30"/>
      <c r="AM72" s="30"/>
      <c r="AN72" s="30" t="s">
        <v>131</v>
      </c>
      <c r="AO72" s="30">
        <v>14.468999999999999</v>
      </c>
      <c r="AP72" s="30">
        <v>2800</v>
      </c>
      <c r="AQ72" s="30"/>
      <c r="AR72" s="30">
        <v>80</v>
      </c>
      <c r="AS72" s="30" t="s">
        <v>132</v>
      </c>
      <c r="AT72" s="30"/>
      <c r="AU72" s="30" t="s">
        <v>129</v>
      </c>
      <c r="AV72" s="30"/>
      <c r="AW72" s="30"/>
      <c r="AX72" s="30" t="s">
        <v>124</v>
      </c>
      <c r="AY72" s="30">
        <v>18</v>
      </c>
      <c r="AZ72" s="30">
        <v>1</v>
      </c>
      <c r="BA72" s="30" t="s">
        <v>82</v>
      </c>
      <c r="BB72" s="30">
        <v>14.4</v>
      </c>
      <c r="BC72" s="30"/>
      <c r="BD72" s="30"/>
      <c r="BE72" s="30"/>
      <c r="BF72" s="30">
        <v>140</v>
      </c>
      <c r="BG72" s="30">
        <f t="shared" si="67"/>
        <v>1680</v>
      </c>
      <c r="BH72" s="30"/>
      <c r="BI72" s="30"/>
      <c r="BJ72" s="30">
        <f t="shared" si="68"/>
        <v>613200</v>
      </c>
      <c r="BK72" s="30">
        <v>6</v>
      </c>
      <c r="BL72" s="30">
        <v>6</v>
      </c>
      <c r="BM72" s="30">
        <v>2.8</v>
      </c>
      <c r="BN72" s="30">
        <v>1</v>
      </c>
      <c r="BO72" s="35">
        <f t="shared" si="69"/>
        <v>4.9333333333333336</v>
      </c>
      <c r="BP72" s="32">
        <f t="shared" si="70"/>
        <v>1.0546666666666666</v>
      </c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</row>
    <row r="73" spans="1:81" ht="45">
      <c r="A73" s="29" t="s">
        <v>379</v>
      </c>
      <c r="B73" s="29" t="s">
        <v>377</v>
      </c>
      <c r="C73" s="29" t="s">
        <v>245</v>
      </c>
      <c r="D73" s="29">
        <v>180</v>
      </c>
      <c r="E73" s="31">
        <f t="shared" si="49"/>
        <v>1091618</v>
      </c>
      <c r="F73" s="32">
        <f t="shared" si="50"/>
        <v>3.1930491547053839</v>
      </c>
      <c r="G73" s="33">
        <f t="shared" si="51"/>
        <v>120.90403363332121</v>
      </c>
      <c r="H73" s="34">
        <f t="shared" si="52"/>
        <v>7.8295067782339536E-2</v>
      </c>
      <c r="I73" s="35">
        <f t="shared" si="53"/>
        <v>2.5</v>
      </c>
      <c r="J73" s="36">
        <f t="shared" si="48"/>
        <v>120.90403363332121</v>
      </c>
      <c r="K73" s="32">
        <f t="shared" si="54"/>
        <v>3.1930491547053839</v>
      </c>
      <c r="L73" s="34">
        <f t="shared" si="55"/>
        <v>7.4697154824938328E-2</v>
      </c>
      <c r="M73" s="32">
        <f t="shared" si="56"/>
        <v>3.3468476889903602</v>
      </c>
      <c r="N73" s="31">
        <v>1091618</v>
      </c>
      <c r="O73" s="31">
        <f>N73*0.72</f>
        <v>785964.96</v>
      </c>
      <c r="P73" s="31">
        <f t="shared" si="57"/>
        <v>1941941.308</v>
      </c>
      <c r="Q73" s="37">
        <f t="shared" si="58"/>
        <v>938791.48</v>
      </c>
      <c r="R73" s="31">
        <f t="shared" si="59"/>
        <v>168982.4664</v>
      </c>
      <c r="S73" s="31">
        <f t="shared" si="60"/>
        <v>157680</v>
      </c>
      <c r="T73" s="38">
        <v>0.1</v>
      </c>
      <c r="U73" s="31">
        <f t="shared" si="61"/>
        <v>93879.148000000001</v>
      </c>
      <c r="V73" s="30"/>
      <c r="W73" s="30"/>
      <c r="X73" s="30"/>
      <c r="Y73" s="30">
        <v>6</v>
      </c>
      <c r="Z73" s="30">
        <v>40</v>
      </c>
      <c r="AA73" s="30">
        <v>74</v>
      </c>
      <c r="AB73" s="31">
        <f t="shared" si="62"/>
        <v>0</v>
      </c>
      <c r="AC73" s="31">
        <f t="shared" si="63"/>
        <v>0</v>
      </c>
      <c r="AD73" s="31">
        <f t="shared" si="64"/>
        <v>578.16</v>
      </c>
      <c r="AE73" s="31">
        <f t="shared" si="71"/>
        <v>1847484</v>
      </c>
      <c r="AF73" s="30">
        <f t="shared" si="65"/>
        <v>324120</v>
      </c>
      <c r="AG73" s="31">
        <f t="shared" si="66"/>
        <v>1847484</v>
      </c>
      <c r="AH73" s="30"/>
      <c r="AI73" s="30">
        <v>5.7</v>
      </c>
      <c r="AJ73" s="30">
        <v>2.1999999999999999E-2</v>
      </c>
      <c r="AK73" s="30">
        <v>34</v>
      </c>
      <c r="AL73" s="30">
        <v>6</v>
      </c>
      <c r="AM73" s="30"/>
      <c r="AN73" s="30" t="s">
        <v>384</v>
      </c>
      <c r="AO73" s="30">
        <v>10.7</v>
      </c>
      <c r="AP73" s="30"/>
      <c r="AQ73" s="30"/>
      <c r="AR73" s="30">
        <v>74</v>
      </c>
      <c r="AS73" s="30"/>
      <c r="AT73" s="30"/>
      <c r="AU73" s="30"/>
      <c r="AV73" s="30"/>
      <c r="AW73" s="30"/>
      <c r="AX73" s="30" t="s">
        <v>387</v>
      </c>
      <c r="AY73" s="30"/>
      <c r="AZ73" s="30">
        <v>1</v>
      </c>
      <c r="BA73" s="30" t="s">
        <v>388</v>
      </c>
      <c r="BB73" s="30">
        <v>10.7</v>
      </c>
      <c r="BC73" s="30"/>
      <c r="BD73" s="30"/>
      <c r="BE73" s="30"/>
      <c r="BF73" s="30">
        <v>180</v>
      </c>
      <c r="BG73" s="30">
        <f t="shared" si="67"/>
        <v>2160</v>
      </c>
      <c r="BH73" s="30"/>
      <c r="BI73" s="30"/>
      <c r="BJ73" s="30">
        <f t="shared" si="68"/>
        <v>788400</v>
      </c>
      <c r="BK73" s="30">
        <v>5</v>
      </c>
      <c r="BL73" s="30">
        <v>6</v>
      </c>
      <c r="BM73" s="30">
        <v>2.9</v>
      </c>
      <c r="BN73" s="30">
        <v>1.8</v>
      </c>
      <c r="BO73" s="35">
        <f t="shared" si="69"/>
        <v>4.6333333333333337</v>
      </c>
      <c r="BP73" s="32">
        <f t="shared" si="70"/>
        <v>1.0481666666666667</v>
      </c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</row>
    <row r="74" spans="1:81" ht="45">
      <c r="A74" s="58" t="s">
        <v>21</v>
      </c>
      <c r="B74" s="58" t="s">
        <v>315</v>
      </c>
      <c r="C74" s="29" t="s">
        <v>245</v>
      </c>
      <c r="D74" s="30">
        <v>90</v>
      </c>
      <c r="E74" s="31">
        <f t="shared" si="49"/>
        <v>635000</v>
      </c>
      <c r="F74" s="32">
        <f t="shared" si="50"/>
        <v>3.2552554773913402</v>
      </c>
      <c r="G74" s="33">
        <f t="shared" si="51"/>
        <v>124.65235634543616</v>
      </c>
      <c r="H74" s="34">
        <f t="shared" si="52"/>
        <v>7.6798887748233555E-2</v>
      </c>
      <c r="I74" s="35">
        <f t="shared" si="53"/>
        <v>2.5</v>
      </c>
      <c r="J74" s="36">
        <f t="shared" si="48"/>
        <v>124.65235634543616</v>
      </c>
      <c r="K74" s="32">
        <f t="shared" si="54"/>
        <v>3.2552554773913402</v>
      </c>
      <c r="L74" s="34">
        <f t="shared" si="55"/>
        <v>7.2122918530192731E-2</v>
      </c>
      <c r="M74" s="32">
        <f t="shared" si="56"/>
        <v>3.4663045408422124</v>
      </c>
      <c r="N74" s="31">
        <v>635000</v>
      </c>
      <c r="O74" s="31">
        <f>N74*0.9</f>
        <v>571500</v>
      </c>
      <c r="P74" s="31">
        <f t="shared" si="57"/>
        <v>984548.8</v>
      </c>
      <c r="Q74" s="37">
        <f t="shared" si="58"/>
        <v>603250</v>
      </c>
      <c r="R74" s="31">
        <f t="shared" si="59"/>
        <v>108585</v>
      </c>
      <c r="S74" s="31">
        <f t="shared" si="60"/>
        <v>78840</v>
      </c>
      <c r="T74" s="38">
        <v>0.1</v>
      </c>
      <c r="U74" s="31">
        <f t="shared" si="61"/>
        <v>60325</v>
      </c>
      <c r="V74" s="30"/>
      <c r="W74" s="30"/>
      <c r="X74" s="30"/>
      <c r="Y74" s="30">
        <v>5</v>
      </c>
      <c r="Z74" s="30"/>
      <c r="AA74" s="30">
        <v>37</v>
      </c>
      <c r="AB74" s="31">
        <f t="shared" si="62"/>
        <v>0</v>
      </c>
      <c r="AC74" s="31">
        <f t="shared" si="63"/>
        <v>0</v>
      </c>
      <c r="AD74" s="31">
        <f t="shared" si="64"/>
        <v>481.79999999999995</v>
      </c>
      <c r="AE74" s="31">
        <f t="shared" si="71"/>
        <v>923742</v>
      </c>
      <c r="AF74" s="30">
        <f t="shared" si="65"/>
        <v>162060</v>
      </c>
      <c r="AG74" s="31">
        <f t="shared" si="66"/>
        <v>923742</v>
      </c>
      <c r="AH74" s="30"/>
      <c r="AI74" s="30">
        <v>5.7</v>
      </c>
      <c r="AJ74" s="30">
        <v>2.1999999999999999E-2</v>
      </c>
      <c r="AK74" s="30"/>
      <c r="AL74" s="30"/>
      <c r="AM74" s="30"/>
      <c r="AN74" s="42" t="s">
        <v>317</v>
      </c>
      <c r="AO74" s="30">
        <v>4.7652975</v>
      </c>
      <c r="AP74" s="30">
        <v>830</v>
      </c>
      <c r="AQ74" s="30"/>
      <c r="AR74" s="30"/>
      <c r="AS74" s="30"/>
      <c r="AT74" s="30"/>
      <c r="AU74" s="30" t="s">
        <v>60</v>
      </c>
      <c r="AV74" s="30">
        <v>30</v>
      </c>
      <c r="AW74" s="30"/>
      <c r="AX74" s="30"/>
      <c r="AY74" s="30"/>
      <c r="AZ74" s="30"/>
      <c r="BA74" s="30" t="s">
        <v>320</v>
      </c>
      <c r="BB74" s="30">
        <v>4.8600000000000003</v>
      </c>
      <c r="BC74" s="30"/>
      <c r="BD74" s="30"/>
      <c r="BE74" s="30"/>
      <c r="BF74" s="30">
        <v>90</v>
      </c>
      <c r="BG74" s="30">
        <f t="shared" si="67"/>
        <v>1080</v>
      </c>
      <c r="BH74" s="30">
        <v>108</v>
      </c>
      <c r="BI74" s="30">
        <v>216</v>
      </c>
      <c r="BJ74" s="30">
        <f t="shared" si="68"/>
        <v>394200</v>
      </c>
      <c r="BK74" s="30">
        <v>7</v>
      </c>
      <c r="BL74" s="30">
        <v>7</v>
      </c>
      <c r="BM74" s="30">
        <v>3.9</v>
      </c>
      <c r="BN74" s="30">
        <v>28.4</v>
      </c>
      <c r="BO74" s="35">
        <f t="shared" si="69"/>
        <v>5.9666666666666659</v>
      </c>
      <c r="BP74" s="32">
        <f t="shared" si="70"/>
        <v>1.0648333333333333</v>
      </c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</row>
    <row r="75" spans="1:81" ht="45">
      <c r="A75" s="29" t="s">
        <v>362</v>
      </c>
      <c r="B75" s="29" t="s">
        <v>357</v>
      </c>
      <c r="C75" s="29" t="s">
        <v>245</v>
      </c>
      <c r="D75" s="29">
        <v>180</v>
      </c>
      <c r="E75" s="31">
        <f t="shared" si="49"/>
        <v>920000</v>
      </c>
      <c r="F75" s="32">
        <f t="shared" si="50"/>
        <v>3.2690262294896111</v>
      </c>
      <c r="G75" s="33">
        <f t="shared" si="51"/>
        <v>118.00015664196484</v>
      </c>
      <c r="H75" s="34">
        <f t="shared" si="52"/>
        <v>7.6475372924441842E-2</v>
      </c>
      <c r="I75" s="35">
        <f t="shared" si="53"/>
        <v>2.5</v>
      </c>
      <c r="J75" s="36">
        <f t="shared" si="48"/>
        <v>118.00015664196484</v>
      </c>
      <c r="K75" s="32">
        <f t="shared" si="54"/>
        <v>3.2690262294896111</v>
      </c>
      <c r="L75" s="34">
        <f t="shared" si="55"/>
        <v>7.1206120041379745E-2</v>
      </c>
      <c r="M75" s="32">
        <f t="shared" si="56"/>
        <v>3.5109341704718422</v>
      </c>
      <c r="N75" s="31">
        <v>920000</v>
      </c>
      <c r="O75" s="30">
        <f>N75*0.95</f>
        <v>874000</v>
      </c>
      <c r="P75" s="31">
        <f t="shared" si="57"/>
        <v>2052956.4000000004</v>
      </c>
      <c r="Q75" s="39">
        <f t="shared" si="58"/>
        <v>897000</v>
      </c>
      <c r="R75" s="30">
        <f t="shared" si="59"/>
        <v>161460</v>
      </c>
      <c r="S75" s="31">
        <f t="shared" si="60"/>
        <v>157680</v>
      </c>
      <c r="T75" s="38">
        <v>0.09</v>
      </c>
      <c r="U75" s="31">
        <f t="shared" si="61"/>
        <v>80730</v>
      </c>
      <c r="V75" s="30"/>
      <c r="W75" s="30"/>
      <c r="X75" s="30"/>
      <c r="Y75" s="30">
        <v>25</v>
      </c>
      <c r="Z75" s="30"/>
      <c r="AA75" s="30">
        <v>78.900000000000006</v>
      </c>
      <c r="AB75" s="31">
        <f t="shared" si="62"/>
        <v>0</v>
      </c>
      <c r="AC75" s="31">
        <f t="shared" si="63"/>
        <v>0</v>
      </c>
      <c r="AD75" s="31">
        <f t="shared" si="64"/>
        <v>2409</v>
      </c>
      <c r="AE75" s="31">
        <f t="shared" si="71"/>
        <v>1969817.4000000004</v>
      </c>
      <c r="AF75" s="30">
        <f t="shared" si="65"/>
        <v>345582.00000000006</v>
      </c>
      <c r="AG75" s="31">
        <f t="shared" si="66"/>
        <v>1969817.4000000004</v>
      </c>
      <c r="AH75" s="30"/>
      <c r="AI75" s="30">
        <v>5.7</v>
      </c>
      <c r="AJ75" s="30">
        <v>2.1999999999999999E-2</v>
      </c>
      <c r="AK75" s="30"/>
      <c r="AL75" s="30"/>
      <c r="AM75" s="30"/>
      <c r="AN75" s="30" t="s">
        <v>360</v>
      </c>
      <c r="AO75" s="30">
        <v>14.25</v>
      </c>
      <c r="AP75" s="30">
        <v>1800</v>
      </c>
      <c r="AQ75" s="30"/>
      <c r="AR75" s="30">
        <v>78.900000000000006</v>
      </c>
      <c r="AS75" s="30"/>
      <c r="AT75" s="30"/>
      <c r="AU75" s="30" t="s">
        <v>56</v>
      </c>
      <c r="AV75" s="30">
        <v>20</v>
      </c>
      <c r="AW75" s="30"/>
      <c r="AX75" s="30"/>
      <c r="AY75" s="30"/>
      <c r="AZ75" s="30">
        <v>1</v>
      </c>
      <c r="BA75" s="30" t="s">
        <v>59</v>
      </c>
      <c r="BB75" s="30">
        <v>11</v>
      </c>
      <c r="BC75" s="30"/>
      <c r="BD75" s="30"/>
      <c r="BE75" s="30"/>
      <c r="BF75" s="30">
        <v>180</v>
      </c>
      <c r="BG75" s="30">
        <f t="shared" si="67"/>
        <v>2160</v>
      </c>
      <c r="BH75" s="30">
        <v>270</v>
      </c>
      <c r="BI75" s="30">
        <v>452</v>
      </c>
      <c r="BJ75" s="30">
        <f t="shared" si="68"/>
        <v>788400</v>
      </c>
      <c r="BK75" s="30">
        <v>8</v>
      </c>
      <c r="BL75" s="30">
        <v>8</v>
      </c>
      <c r="BM75" s="30">
        <v>4.4000000000000004</v>
      </c>
      <c r="BN75" s="30">
        <v>11.7</v>
      </c>
      <c r="BO75" s="35">
        <f t="shared" si="69"/>
        <v>6.8</v>
      </c>
      <c r="BP75" s="32">
        <f t="shared" si="70"/>
        <v>1.0740000000000001</v>
      </c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</row>
    <row r="76" spans="1:81" ht="45">
      <c r="A76" s="58" t="s">
        <v>130</v>
      </c>
      <c r="B76" s="58" t="s">
        <v>128</v>
      </c>
      <c r="C76" s="29" t="s">
        <v>245</v>
      </c>
      <c r="D76" s="30">
        <v>150</v>
      </c>
      <c r="E76" s="31">
        <f t="shared" si="49"/>
        <v>1419576</v>
      </c>
      <c r="F76" s="32">
        <f t="shared" si="50"/>
        <v>3.2719242354051579</v>
      </c>
      <c r="G76" s="33">
        <f t="shared" si="51"/>
        <v>132.18266620034404</v>
      </c>
      <c r="H76" s="34">
        <f t="shared" si="52"/>
        <v>7.6407637223006433E-2</v>
      </c>
      <c r="I76" s="35">
        <f t="shared" si="53"/>
        <v>2.5</v>
      </c>
      <c r="J76" s="36">
        <f t="shared" si="48"/>
        <v>132.18266620034404</v>
      </c>
      <c r="K76" s="32">
        <f t="shared" si="54"/>
        <v>3.2719242354051579</v>
      </c>
      <c r="L76" s="34">
        <f t="shared" si="55"/>
        <v>7.2447190792989669E-2</v>
      </c>
      <c r="M76" s="32">
        <f t="shared" si="56"/>
        <v>3.4507894269406392</v>
      </c>
      <c r="N76" s="31">
        <v>1419576</v>
      </c>
      <c r="O76" s="31">
        <f>N76*0.89</f>
        <v>1263422.6400000001</v>
      </c>
      <c r="P76" s="31">
        <f t="shared" si="57"/>
        <v>1572265.0452000001</v>
      </c>
      <c r="Q76" s="37">
        <f t="shared" si="58"/>
        <v>1341499.32</v>
      </c>
      <c r="R76" s="31">
        <f t="shared" si="59"/>
        <v>241469.87760000001</v>
      </c>
      <c r="S76" s="31">
        <f t="shared" si="60"/>
        <v>131400</v>
      </c>
      <c r="T76" s="38">
        <v>0.11</v>
      </c>
      <c r="U76" s="31">
        <f t="shared" si="61"/>
        <v>147564.9252</v>
      </c>
      <c r="V76" s="30"/>
      <c r="W76" s="30"/>
      <c r="X76" s="30"/>
      <c r="Y76" s="30">
        <v>17</v>
      </c>
      <c r="Z76" s="30"/>
      <c r="AA76" s="30">
        <v>57</v>
      </c>
      <c r="AB76" s="31">
        <f t="shared" si="62"/>
        <v>0</v>
      </c>
      <c r="AC76" s="31">
        <f t="shared" si="63"/>
        <v>0</v>
      </c>
      <c r="AD76" s="31">
        <f t="shared" si="64"/>
        <v>1638.12</v>
      </c>
      <c r="AE76" s="31">
        <f t="shared" si="71"/>
        <v>1423062</v>
      </c>
      <c r="AF76" s="30">
        <f t="shared" si="65"/>
        <v>249660</v>
      </c>
      <c r="AG76" s="31">
        <f t="shared" si="66"/>
        <v>1423062</v>
      </c>
      <c r="AH76" s="30"/>
      <c r="AI76" s="30">
        <v>5.7</v>
      </c>
      <c r="AJ76" s="30">
        <v>2.1999999999999999E-2</v>
      </c>
      <c r="AK76" s="30"/>
      <c r="AL76" s="30"/>
      <c r="AM76" s="30"/>
      <c r="AN76" s="30" t="s">
        <v>178</v>
      </c>
      <c r="AO76" s="30">
        <v>6.069</v>
      </c>
      <c r="AP76" s="30">
        <v>1500</v>
      </c>
      <c r="AQ76" s="30"/>
      <c r="AR76" s="30">
        <v>57</v>
      </c>
      <c r="AS76" s="30"/>
      <c r="AT76" s="30"/>
      <c r="AU76" s="30"/>
      <c r="AV76" s="30">
        <v>24</v>
      </c>
      <c r="AW76" s="30"/>
      <c r="AX76" s="30" t="s">
        <v>124</v>
      </c>
      <c r="AY76" s="30">
        <v>18</v>
      </c>
      <c r="AZ76" s="30">
        <v>1</v>
      </c>
      <c r="BA76" s="30" t="s">
        <v>36</v>
      </c>
      <c r="BB76" s="30">
        <v>8.6</v>
      </c>
      <c r="BC76" s="30"/>
      <c r="BD76" s="30"/>
      <c r="BE76" s="30"/>
      <c r="BF76" s="30">
        <v>150</v>
      </c>
      <c r="BG76" s="30">
        <f t="shared" si="67"/>
        <v>1800</v>
      </c>
      <c r="BH76" s="30"/>
      <c r="BI76" s="30"/>
      <c r="BJ76" s="30">
        <f t="shared" si="68"/>
        <v>657000</v>
      </c>
      <c r="BK76" s="30">
        <v>6</v>
      </c>
      <c r="BL76" s="30">
        <v>6</v>
      </c>
      <c r="BM76" s="30">
        <v>2.8</v>
      </c>
      <c r="BN76" s="30">
        <v>1.5</v>
      </c>
      <c r="BO76" s="35">
        <f t="shared" si="69"/>
        <v>4.9333333333333336</v>
      </c>
      <c r="BP76" s="32">
        <f t="shared" si="70"/>
        <v>1.0546666666666666</v>
      </c>
      <c r="BQ76" s="30" t="s">
        <v>305</v>
      </c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</row>
    <row r="77" spans="1:81" ht="45">
      <c r="A77" s="29" t="s">
        <v>379</v>
      </c>
      <c r="B77" s="29" t="s">
        <v>378</v>
      </c>
      <c r="C77" s="29" t="s">
        <v>245</v>
      </c>
      <c r="D77" s="29">
        <v>216</v>
      </c>
      <c r="E77" s="31">
        <f t="shared" si="49"/>
        <v>1362900</v>
      </c>
      <c r="F77" s="32">
        <f t="shared" si="50"/>
        <v>3.3096830420489693</v>
      </c>
      <c r="G77" s="33">
        <f t="shared" si="51"/>
        <v>118.61620476884133</v>
      </c>
      <c r="H77" s="34">
        <f t="shared" si="52"/>
        <v>7.5535934052835832E-2</v>
      </c>
      <c r="I77" s="35">
        <f t="shared" si="53"/>
        <v>2.5</v>
      </c>
      <c r="J77" s="36">
        <f t="shared" si="48"/>
        <v>118.61620476884133</v>
      </c>
      <c r="K77" s="32">
        <f t="shared" si="54"/>
        <v>3.3096830420489693</v>
      </c>
      <c r="L77" s="34">
        <f t="shared" si="55"/>
        <v>7.2064812262206235E-2</v>
      </c>
      <c r="M77" s="32">
        <f t="shared" si="56"/>
        <v>3.4690994419076611</v>
      </c>
      <c r="N77" s="31">
        <v>1362900</v>
      </c>
      <c r="O77" s="31">
        <f>N77*0.72</f>
        <v>981288</v>
      </c>
      <c r="P77" s="31">
        <f t="shared" si="57"/>
        <v>2414659.56</v>
      </c>
      <c r="Q77" s="37">
        <f t="shared" si="58"/>
        <v>1172094</v>
      </c>
      <c r="R77" s="31">
        <f t="shared" si="59"/>
        <v>210976.91999999998</v>
      </c>
      <c r="S77" s="31">
        <f t="shared" si="60"/>
        <v>189216</v>
      </c>
      <c r="T77" s="38">
        <v>0.1</v>
      </c>
      <c r="U77" s="31">
        <f t="shared" si="61"/>
        <v>117209.40000000001</v>
      </c>
      <c r="V77" s="30"/>
      <c r="W77" s="30"/>
      <c r="X77" s="30"/>
      <c r="Y77" s="30">
        <v>6</v>
      </c>
      <c r="Z77" s="30">
        <v>48</v>
      </c>
      <c r="AA77" s="30">
        <v>92</v>
      </c>
      <c r="AB77" s="31">
        <f t="shared" si="62"/>
        <v>0</v>
      </c>
      <c r="AC77" s="31">
        <f t="shared" si="63"/>
        <v>0</v>
      </c>
      <c r="AD77" s="31">
        <f t="shared" si="64"/>
        <v>578.16</v>
      </c>
      <c r="AE77" s="31">
        <f t="shared" si="71"/>
        <v>2296872</v>
      </c>
      <c r="AF77" s="30">
        <f t="shared" si="65"/>
        <v>402960</v>
      </c>
      <c r="AG77" s="31">
        <f t="shared" si="66"/>
        <v>2296872</v>
      </c>
      <c r="AH77" s="30"/>
      <c r="AI77" s="30">
        <v>5.7</v>
      </c>
      <c r="AJ77" s="30">
        <v>2.1999999999999999E-2</v>
      </c>
      <c r="AK77" s="30">
        <v>34</v>
      </c>
      <c r="AL77" s="30">
        <v>6</v>
      </c>
      <c r="AM77" s="30"/>
      <c r="AN77" s="30" t="s">
        <v>385</v>
      </c>
      <c r="AO77" s="30">
        <v>12.96</v>
      </c>
      <c r="AP77" s="30"/>
      <c r="AQ77" s="30"/>
      <c r="AR77" s="30">
        <v>92</v>
      </c>
      <c r="AS77" s="30"/>
      <c r="AT77" s="30"/>
      <c r="AU77" s="30"/>
      <c r="AV77" s="30"/>
      <c r="AW77" s="30"/>
      <c r="AX77" s="30" t="s">
        <v>387</v>
      </c>
      <c r="AY77" s="30"/>
      <c r="AZ77" s="30">
        <v>1</v>
      </c>
      <c r="BA77" s="30" t="s">
        <v>389</v>
      </c>
      <c r="BB77" s="30">
        <v>12.96</v>
      </c>
      <c r="BC77" s="30"/>
      <c r="BD77" s="30"/>
      <c r="BE77" s="30"/>
      <c r="BF77" s="30">
        <v>216</v>
      </c>
      <c r="BG77" s="30">
        <f t="shared" si="67"/>
        <v>2592</v>
      </c>
      <c r="BH77" s="30"/>
      <c r="BI77" s="30"/>
      <c r="BJ77" s="30">
        <f t="shared" si="68"/>
        <v>946080</v>
      </c>
      <c r="BK77" s="30">
        <v>5</v>
      </c>
      <c r="BL77" s="30">
        <v>6</v>
      </c>
      <c r="BM77" s="30">
        <v>2.9</v>
      </c>
      <c r="BN77" s="30">
        <v>1.8</v>
      </c>
      <c r="BO77" s="35">
        <f t="shared" si="69"/>
        <v>4.6333333333333337</v>
      </c>
      <c r="BP77" s="32">
        <f t="shared" si="70"/>
        <v>1.0481666666666667</v>
      </c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</row>
    <row r="78" spans="1:81" ht="45">
      <c r="A78" s="4" t="s">
        <v>362</v>
      </c>
      <c r="B78" s="4" t="s">
        <v>355</v>
      </c>
      <c r="C78" s="4" t="s">
        <v>245</v>
      </c>
      <c r="D78" s="4">
        <v>150</v>
      </c>
      <c r="E78" s="48">
        <f t="shared" si="49"/>
        <v>800000</v>
      </c>
      <c r="F78" s="49">
        <f t="shared" si="50"/>
        <v>3.4410939771944591</v>
      </c>
      <c r="G78" s="50">
        <f t="shared" si="51"/>
        <v>115.34856751235991</v>
      </c>
      <c r="H78" s="51">
        <f t="shared" si="52"/>
        <v>7.2651314278788237E-2</v>
      </c>
      <c r="I78" s="52">
        <f t="shared" si="53"/>
        <v>2.5</v>
      </c>
      <c r="J78" s="53">
        <f t="shared" si="48"/>
        <v>115.34856751235991</v>
      </c>
      <c r="K78" s="49">
        <f t="shared" si="54"/>
        <v>3.4410939771944591</v>
      </c>
      <c r="L78" s="34">
        <f t="shared" si="55"/>
        <v>6.7645544021218085E-2</v>
      </c>
      <c r="M78" s="32">
        <f t="shared" si="56"/>
        <v>3.6957349315068493</v>
      </c>
      <c r="N78" s="31">
        <v>800000</v>
      </c>
      <c r="O78" s="30">
        <f>N78*0.95</f>
        <v>760000</v>
      </c>
      <c r="P78" s="31">
        <f t="shared" si="57"/>
        <v>1802078.28</v>
      </c>
      <c r="Q78" s="39">
        <f t="shared" si="58"/>
        <v>780000</v>
      </c>
      <c r="R78" s="30">
        <f t="shared" si="59"/>
        <v>140400</v>
      </c>
      <c r="S78" s="31">
        <f t="shared" si="60"/>
        <v>131400</v>
      </c>
      <c r="T78" s="38">
        <v>0.09</v>
      </c>
      <c r="U78" s="31">
        <f t="shared" si="61"/>
        <v>70200</v>
      </c>
      <c r="V78" s="30"/>
      <c r="W78" s="30"/>
      <c r="X78" s="30"/>
      <c r="Y78" s="30">
        <v>18</v>
      </c>
      <c r="Z78" s="30"/>
      <c r="AA78" s="30">
        <v>69.3</v>
      </c>
      <c r="AB78" s="31">
        <f t="shared" si="62"/>
        <v>0</v>
      </c>
      <c r="AC78" s="31">
        <f t="shared" si="63"/>
        <v>0</v>
      </c>
      <c r="AD78" s="31">
        <f t="shared" si="64"/>
        <v>1734.4799999999998</v>
      </c>
      <c r="AE78" s="31">
        <f t="shared" si="71"/>
        <v>1730143.8</v>
      </c>
      <c r="AF78" s="30">
        <f t="shared" si="65"/>
        <v>303534</v>
      </c>
      <c r="AG78" s="31">
        <f t="shared" si="66"/>
        <v>1730143.8</v>
      </c>
      <c r="AH78" s="30"/>
      <c r="AI78" s="30">
        <v>5.7</v>
      </c>
      <c r="AJ78" s="30">
        <v>2.1999999999999999E-2</v>
      </c>
      <c r="AK78" s="30"/>
      <c r="AL78" s="30"/>
      <c r="AM78" s="30"/>
      <c r="AN78" s="30" t="s">
        <v>359</v>
      </c>
      <c r="AO78" s="30">
        <v>11.9</v>
      </c>
      <c r="AP78" s="30">
        <v>1500</v>
      </c>
      <c r="AQ78" s="30"/>
      <c r="AR78" s="30">
        <v>69.3</v>
      </c>
      <c r="AS78" s="30"/>
      <c r="AT78" s="30"/>
      <c r="AU78" s="30" t="s">
        <v>56</v>
      </c>
      <c r="AV78" s="30">
        <v>17</v>
      </c>
      <c r="AW78" s="30"/>
      <c r="AX78" s="30"/>
      <c r="AY78" s="30"/>
      <c r="AZ78" s="30">
        <v>1</v>
      </c>
      <c r="BA78" s="30" t="s">
        <v>64</v>
      </c>
      <c r="BB78" s="30">
        <v>8.6</v>
      </c>
      <c r="BC78" s="30"/>
      <c r="BD78" s="30"/>
      <c r="BE78" s="30"/>
      <c r="BF78" s="30">
        <v>150</v>
      </c>
      <c r="BG78" s="30">
        <f t="shared" si="67"/>
        <v>1800</v>
      </c>
      <c r="BH78" s="30">
        <v>216</v>
      </c>
      <c r="BI78" s="30">
        <v>380</v>
      </c>
      <c r="BJ78" s="30">
        <f t="shared" si="68"/>
        <v>657000</v>
      </c>
      <c r="BK78" s="30">
        <v>8</v>
      </c>
      <c r="BL78" s="30">
        <v>8</v>
      </c>
      <c r="BM78" s="30">
        <v>4.4000000000000004</v>
      </c>
      <c r="BN78" s="30">
        <v>11.7</v>
      </c>
      <c r="BO78" s="35">
        <f t="shared" si="69"/>
        <v>6.8</v>
      </c>
      <c r="BP78" s="32">
        <f t="shared" si="70"/>
        <v>1.0740000000000001</v>
      </c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</row>
    <row r="79" spans="1:81" ht="45">
      <c r="A79" s="58" t="s">
        <v>21</v>
      </c>
      <c r="B79" s="58" t="s">
        <v>100</v>
      </c>
      <c r="C79" s="29" t="s">
        <v>245</v>
      </c>
      <c r="D79" s="30">
        <v>180</v>
      </c>
      <c r="E79" s="31">
        <f t="shared" si="49"/>
        <v>1310000</v>
      </c>
      <c r="F79" s="32">
        <f t="shared" si="50"/>
        <v>3.4582555800697206</v>
      </c>
      <c r="G79" s="33">
        <f t="shared" si="51"/>
        <v>120.04188372394651</v>
      </c>
      <c r="H79" s="34">
        <f t="shared" si="52"/>
        <v>7.2290781930860012E-2</v>
      </c>
      <c r="I79" s="35">
        <f t="shared" si="53"/>
        <v>2.5</v>
      </c>
      <c r="J79" s="36">
        <f t="shared" si="48"/>
        <v>120.04188372394651</v>
      </c>
      <c r="K79" s="32">
        <f t="shared" si="54"/>
        <v>3.4582555800697206</v>
      </c>
      <c r="L79" s="34">
        <f t="shared" si="55"/>
        <v>6.7889292782150584E-2</v>
      </c>
      <c r="M79" s="32">
        <f t="shared" si="56"/>
        <v>3.6824658168442412</v>
      </c>
      <c r="N79" s="31">
        <v>1310000</v>
      </c>
      <c r="O79" s="31">
        <f>N79*0.9</f>
        <v>1179000</v>
      </c>
      <c r="P79" s="31">
        <f t="shared" si="57"/>
        <v>2098594.84</v>
      </c>
      <c r="Q79" s="37">
        <f t="shared" si="58"/>
        <v>1244500</v>
      </c>
      <c r="R79" s="31">
        <f t="shared" si="59"/>
        <v>224010</v>
      </c>
      <c r="S79" s="31">
        <f t="shared" si="60"/>
        <v>157680</v>
      </c>
      <c r="T79" s="38">
        <v>0.1</v>
      </c>
      <c r="U79" s="31">
        <f t="shared" si="61"/>
        <v>124450</v>
      </c>
      <c r="V79" s="30"/>
      <c r="W79" s="30"/>
      <c r="X79" s="30"/>
      <c r="Y79" s="30">
        <v>19</v>
      </c>
      <c r="Z79" s="30"/>
      <c r="AA79" s="30">
        <v>79</v>
      </c>
      <c r="AB79" s="31">
        <f t="shared" si="62"/>
        <v>0</v>
      </c>
      <c r="AC79" s="31">
        <f t="shared" si="63"/>
        <v>0</v>
      </c>
      <c r="AD79" s="31">
        <f t="shared" si="64"/>
        <v>1830.84</v>
      </c>
      <c r="AE79" s="31">
        <f t="shared" si="71"/>
        <v>1972314</v>
      </c>
      <c r="AF79" s="30">
        <f t="shared" si="65"/>
        <v>346020</v>
      </c>
      <c r="AG79" s="31">
        <f t="shared" si="66"/>
        <v>1972314</v>
      </c>
      <c r="AH79" s="30"/>
      <c r="AI79" s="30">
        <v>5.7</v>
      </c>
      <c r="AJ79" s="30">
        <v>2.1999999999999999E-2</v>
      </c>
      <c r="AK79" s="30"/>
      <c r="AL79" s="30"/>
      <c r="AM79" s="30"/>
      <c r="AN79" s="29" t="s">
        <v>104</v>
      </c>
      <c r="AO79" s="30">
        <v>15.57328</v>
      </c>
      <c r="AP79" s="30">
        <v>2350</v>
      </c>
      <c r="AQ79" s="30"/>
      <c r="AR79" s="30">
        <v>110</v>
      </c>
      <c r="AS79" s="30"/>
      <c r="AT79" s="30"/>
      <c r="AU79" s="30" t="s">
        <v>60</v>
      </c>
      <c r="AV79" s="30" t="s">
        <v>55</v>
      </c>
      <c r="AW79" s="30" t="s">
        <v>105</v>
      </c>
      <c r="AX79" s="30" t="s">
        <v>23</v>
      </c>
      <c r="AY79" s="30">
        <v>24</v>
      </c>
      <c r="AZ79" s="30">
        <v>1</v>
      </c>
      <c r="BA79" s="30" t="s">
        <v>106</v>
      </c>
      <c r="BB79" s="30">
        <v>14.85</v>
      </c>
      <c r="BC79" s="30">
        <v>100</v>
      </c>
      <c r="BD79" s="30"/>
      <c r="BE79" s="30"/>
      <c r="BF79" s="30">
        <v>180</v>
      </c>
      <c r="BG79" s="30">
        <f t="shared" si="67"/>
        <v>2160</v>
      </c>
      <c r="BH79" s="30">
        <v>288</v>
      </c>
      <c r="BI79" s="30">
        <v>630</v>
      </c>
      <c r="BJ79" s="30">
        <f t="shared" si="68"/>
        <v>788400</v>
      </c>
      <c r="BK79" s="30">
        <v>7</v>
      </c>
      <c r="BL79" s="30">
        <v>7</v>
      </c>
      <c r="BM79" s="30">
        <v>3.9</v>
      </c>
      <c r="BN79" s="30">
        <v>28.4</v>
      </c>
      <c r="BO79" s="35">
        <f t="shared" si="69"/>
        <v>5.9666666666666659</v>
      </c>
      <c r="BP79" s="32">
        <f t="shared" si="70"/>
        <v>1.0648333333333333</v>
      </c>
      <c r="BQ79" s="30"/>
      <c r="BR79" s="30"/>
      <c r="BS79" s="30"/>
      <c r="BT79" s="30"/>
      <c r="BU79" s="30"/>
      <c r="BV79" s="30"/>
      <c r="BW79" s="30" t="s">
        <v>53</v>
      </c>
      <c r="BX79" s="30"/>
      <c r="BY79" s="30"/>
      <c r="BZ79" s="30"/>
      <c r="CA79" s="30"/>
      <c r="CB79" s="30"/>
      <c r="CC79" s="30"/>
    </row>
    <row r="80" spans="1:81" ht="45">
      <c r="A80" s="58" t="s">
        <v>130</v>
      </c>
      <c r="B80" s="58" t="s">
        <v>127</v>
      </c>
      <c r="C80" s="29" t="s">
        <v>245</v>
      </c>
      <c r="D80" s="30">
        <v>120</v>
      </c>
      <c r="E80" s="31">
        <f t="shared" si="49"/>
        <v>1296134</v>
      </c>
      <c r="F80" s="32">
        <f t="shared" si="50"/>
        <v>3.5065102649076505</v>
      </c>
      <c r="G80" s="33">
        <f t="shared" si="51"/>
        <v>128.16954008174119</v>
      </c>
      <c r="H80" s="34">
        <f t="shared" si="52"/>
        <v>7.1295955554997958E-2</v>
      </c>
      <c r="I80" s="35">
        <f t="shared" si="53"/>
        <v>2.5</v>
      </c>
      <c r="J80" s="36">
        <f t="shared" si="48"/>
        <v>128.16954008174119</v>
      </c>
      <c r="K80" s="32">
        <f t="shared" si="54"/>
        <v>3.5065102649076505</v>
      </c>
      <c r="L80" s="34">
        <f t="shared" si="55"/>
        <v>6.7600463547722464E-2</v>
      </c>
      <c r="M80" s="32">
        <f t="shared" si="56"/>
        <v>3.6981994927226021</v>
      </c>
      <c r="N80" s="31">
        <v>1296134</v>
      </c>
      <c r="O80" s="31">
        <f>N80*0.89</f>
        <v>1153559.26</v>
      </c>
      <c r="P80" s="31">
        <f t="shared" si="57"/>
        <v>1334546.5292999998</v>
      </c>
      <c r="Q80" s="37">
        <f t="shared" si="58"/>
        <v>1224846.6299999999</v>
      </c>
      <c r="R80" s="31">
        <f t="shared" si="59"/>
        <v>220472.39339999997</v>
      </c>
      <c r="S80" s="31">
        <f t="shared" si="60"/>
        <v>105120</v>
      </c>
      <c r="T80" s="38">
        <v>0.11</v>
      </c>
      <c r="U80" s="31">
        <f t="shared" si="61"/>
        <v>134733.1293</v>
      </c>
      <c r="V80" s="30"/>
      <c r="W80" s="30"/>
      <c r="X80" s="30"/>
      <c r="Y80" s="30">
        <v>15</v>
      </c>
      <c r="Z80" s="30"/>
      <c r="AA80" s="30">
        <v>48</v>
      </c>
      <c r="AB80" s="31">
        <f t="shared" si="62"/>
        <v>0</v>
      </c>
      <c r="AC80" s="31">
        <f t="shared" si="63"/>
        <v>0</v>
      </c>
      <c r="AD80" s="31">
        <f t="shared" si="64"/>
        <v>1445.3999999999999</v>
      </c>
      <c r="AE80" s="31">
        <f t="shared" si="71"/>
        <v>1198368</v>
      </c>
      <c r="AF80" s="30">
        <f t="shared" si="65"/>
        <v>210240</v>
      </c>
      <c r="AG80" s="31">
        <f t="shared" si="66"/>
        <v>1198368</v>
      </c>
      <c r="AH80" s="30"/>
      <c r="AI80" s="30">
        <v>5.7</v>
      </c>
      <c r="AJ80" s="30">
        <v>2.1999999999999999E-2</v>
      </c>
      <c r="AK80" s="30"/>
      <c r="AL80" s="30"/>
      <c r="AM80" s="30"/>
      <c r="AN80" s="30" t="s">
        <v>178</v>
      </c>
      <c r="AO80" s="30">
        <v>6.069</v>
      </c>
      <c r="AP80" s="30">
        <v>1350</v>
      </c>
      <c r="AQ80" s="30"/>
      <c r="AR80" s="30">
        <v>48</v>
      </c>
      <c r="AS80" s="30"/>
      <c r="AT80" s="30"/>
      <c r="AU80" s="30"/>
      <c r="AV80" s="30">
        <v>22</v>
      </c>
      <c r="AW80" s="30"/>
      <c r="AX80" s="30" t="s">
        <v>121</v>
      </c>
      <c r="AY80" s="30">
        <v>15</v>
      </c>
      <c r="AZ80" s="30">
        <v>1</v>
      </c>
      <c r="BA80" s="30" t="s">
        <v>36</v>
      </c>
      <c r="BB80" s="30">
        <v>7.2</v>
      </c>
      <c r="BC80" s="30"/>
      <c r="BD80" s="30"/>
      <c r="BE80" s="30"/>
      <c r="BF80" s="30">
        <v>120</v>
      </c>
      <c r="BG80" s="30">
        <f t="shared" si="67"/>
        <v>1440</v>
      </c>
      <c r="BH80" s="30"/>
      <c r="BI80" s="30"/>
      <c r="BJ80" s="30">
        <f t="shared" si="68"/>
        <v>525600</v>
      </c>
      <c r="BK80" s="30">
        <v>6</v>
      </c>
      <c r="BL80" s="30">
        <v>6</v>
      </c>
      <c r="BM80" s="30">
        <v>2.8</v>
      </c>
      <c r="BN80" s="30">
        <v>1</v>
      </c>
      <c r="BO80" s="35">
        <f t="shared" si="69"/>
        <v>4.9333333333333336</v>
      </c>
      <c r="BP80" s="32">
        <f t="shared" si="70"/>
        <v>1.0546666666666666</v>
      </c>
      <c r="BQ80" s="30" t="s">
        <v>305</v>
      </c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</row>
    <row r="81" spans="1:81" ht="45">
      <c r="A81" s="62" t="s">
        <v>141</v>
      </c>
      <c r="B81" s="62" t="s">
        <v>144</v>
      </c>
      <c r="C81" s="54" t="s">
        <v>245</v>
      </c>
      <c r="D81" s="30">
        <v>140</v>
      </c>
      <c r="E81" s="31">
        <f t="shared" si="49"/>
        <v>1302132</v>
      </c>
      <c r="F81" s="32">
        <f t="shared" si="50"/>
        <v>3.5944370953941269</v>
      </c>
      <c r="G81" s="33">
        <f t="shared" si="51"/>
        <v>122.30824878172439</v>
      </c>
      <c r="H81" s="34">
        <f t="shared" si="52"/>
        <v>6.9551919637249271E-2</v>
      </c>
      <c r="I81" s="35">
        <f t="shared" si="53"/>
        <v>2.5</v>
      </c>
      <c r="J81" s="36">
        <f t="shared" si="48"/>
        <v>122.30824878172439</v>
      </c>
      <c r="K81" s="32">
        <f t="shared" si="54"/>
        <v>3.5944370953941269</v>
      </c>
      <c r="L81" s="34">
        <f t="shared" si="55"/>
        <v>6.6061661836868069E-2</v>
      </c>
      <c r="M81" s="32">
        <f t="shared" si="56"/>
        <v>3.7843431886007832</v>
      </c>
      <c r="N81" s="31">
        <v>1302132</v>
      </c>
      <c r="O81" s="31">
        <f>N81*0.89</f>
        <v>1158897.48</v>
      </c>
      <c r="P81" s="31">
        <f t="shared" si="57"/>
        <v>1634954.7414000002</v>
      </c>
      <c r="Q81" s="37">
        <f t="shared" si="58"/>
        <v>1230514.74</v>
      </c>
      <c r="R81" s="31">
        <f t="shared" si="59"/>
        <v>221492.6532</v>
      </c>
      <c r="S81" s="31">
        <f t="shared" si="60"/>
        <v>122640</v>
      </c>
      <c r="T81" s="38">
        <v>0.11</v>
      </c>
      <c r="U81" s="31">
        <f t="shared" si="61"/>
        <v>135356.6214</v>
      </c>
      <c r="V81" s="30"/>
      <c r="W81" s="30"/>
      <c r="X81" s="30"/>
      <c r="Y81" s="30">
        <v>17</v>
      </c>
      <c r="Z81" s="30"/>
      <c r="AA81" s="30">
        <v>60</v>
      </c>
      <c r="AB81" s="31">
        <f t="shared" si="62"/>
        <v>0</v>
      </c>
      <c r="AC81" s="31">
        <f t="shared" si="63"/>
        <v>0</v>
      </c>
      <c r="AD81" s="31">
        <f t="shared" si="64"/>
        <v>1638.12</v>
      </c>
      <c r="AE81" s="31">
        <f t="shared" si="71"/>
        <v>1497960</v>
      </c>
      <c r="AF81" s="30">
        <f t="shared" si="65"/>
        <v>262800</v>
      </c>
      <c r="AG81" s="31">
        <f t="shared" si="66"/>
        <v>1497960</v>
      </c>
      <c r="AH81" s="30"/>
      <c r="AI81" s="30">
        <v>5.7</v>
      </c>
      <c r="AJ81" s="30">
        <v>2.1999999999999999E-2</v>
      </c>
      <c r="AK81" s="30"/>
      <c r="AL81" s="30"/>
      <c r="AM81" s="30"/>
      <c r="AN81" s="30" t="s">
        <v>139</v>
      </c>
      <c r="AO81" s="30">
        <v>7.7953615000000003</v>
      </c>
      <c r="AP81" s="30">
        <v>2050</v>
      </c>
      <c r="AQ81" s="30"/>
      <c r="AR81" s="30">
        <v>60</v>
      </c>
      <c r="AS81" s="30"/>
      <c r="AT81" s="30"/>
      <c r="AU81" s="30" t="s">
        <v>140</v>
      </c>
      <c r="AV81" s="30">
        <v>22</v>
      </c>
      <c r="AW81" s="30"/>
      <c r="AX81" s="30" t="s">
        <v>142</v>
      </c>
      <c r="AY81" s="30">
        <v>16</v>
      </c>
      <c r="AZ81" s="30">
        <v>1</v>
      </c>
      <c r="BA81" s="30" t="s">
        <v>16</v>
      </c>
      <c r="BB81" s="30" t="s">
        <v>143</v>
      </c>
      <c r="BC81" s="30"/>
      <c r="BD81" s="30"/>
      <c r="BE81" s="30"/>
      <c r="BF81" s="30">
        <v>140</v>
      </c>
      <c r="BG81" s="30">
        <f t="shared" si="67"/>
        <v>1680</v>
      </c>
      <c r="BH81" s="30"/>
      <c r="BI81" s="30"/>
      <c r="BJ81" s="30">
        <f t="shared" si="68"/>
        <v>613200</v>
      </c>
      <c r="BK81" s="30">
        <v>6</v>
      </c>
      <c r="BL81" s="30">
        <v>5</v>
      </c>
      <c r="BM81" s="30">
        <v>2.7</v>
      </c>
      <c r="BN81" s="30">
        <v>1</v>
      </c>
      <c r="BO81" s="35">
        <f t="shared" si="69"/>
        <v>4.5666666666666664</v>
      </c>
      <c r="BP81" s="32">
        <f t="shared" si="70"/>
        <v>1.0528333333333333</v>
      </c>
      <c r="BQ81" s="30" t="s">
        <v>305</v>
      </c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</row>
    <row r="82" spans="1:81" ht="45">
      <c r="A82" s="58" t="s">
        <v>141</v>
      </c>
      <c r="B82" s="58" t="s">
        <v>151</v>
      </c>
      <c r="C82" s="29" t="s">
        <v>245</v>
      </c>
      <c r="D82" s="30">
        <v>150</v>
      </c>
      <c r="E82" s="31">
        <f t="shared" si="49"/>
        <v>1529256</v>
      </c>
      <c r="F82" s="32">
        <f t="shared" si="50"/>
        <v>3.6483954064707493</v>
      </c>
      <c r="G82" s="33">
        <f t="shared" si="51"/>
        <v>123.30380272265714</v>
      </c>
      <c r="H82" s="34">
        <f t="shared" si="52"/>
        <v>6.8523274521342478E-2</v>
      </c>
      <c r="I82" s="35">
        <f t="shared" si="53"/>
        <v>2.5</v>
      </c>
      <c r="J82" s="36">
        <f t="shared" si="48"/>
        <v>123.30380272265714</v>
      </c>
      <c r="K82" s="32">
        <f t="shared" si="54"/>
        <v>3.6483954064707493</v>
      </c>
      <c r="L82" s="34">
        <f t="shared" si="55"/>
        <v>6.5074334778103024E-2</v>
      </c>
      <c r="M82" s="32">
        <f t="shared" si="56"/>
        <v>3.8417603630136985</v>
      </c>
      <c r="N82" s="31">
        <v>1529256</v>
      </c>
      <c r="O82" s="31">
        <f>N82*0.89</f>
        <v>1361037.84</v>
      </c>
      <c r="P82" s="31">
        <f t="shared" si="57"/>
        <v>1759102.8011999999</v>
      </c>
      <c r="Q82" s="37">
        <f t="shared" si="58"/>
        <v>1445146.92</v>
      </c>
      <c r="R82" s="31">
        <f t="shared" si="59"/>
        <v>260126.44559999998</v>
      </c>
      <c r="S82" s="31">
        <f t="shared" si="60"/>
        <v>131400</v>
      </c>
      <c r="T82" s="38">
        <v>0.11</v>
      </c>
      <c r="U82" s="31">
        <f t="shared" si="61"/>
        <v>158966.1612</v>
      </c>
      <c r="V82" s="30"/>
      <c r="W82" s="30"/>
      <c r="X82" s="30"/>
      <c r="Y82" s="30">
        <v>24</v>
      </c>
      <c r="Z82" s="30"/>
      <c r="AA82" s="30">
        <v>64</v>
      </c>
      <c r="AB82" s="31">
        <f t="shared" si="62"/>
        <v>0</v>
      </c>
      <c r="AC82" s="31">
        <f t="shared" si="63"/>
        <v>0</v>
      </c>
      <c r="AD82" s="31">
        <f t="shared" si="64"/>
        <v>2312.64</v>
      </c>
      <c r="AE82" s="31">
        <f t="shared" si="71"/>
        <v>1597824</v>
      </c>
      <c r="AF82" s="30">
        <f t="shared" si="65"/>
        <v>280320</v>
      </c>
      <c r="AG82" s="31">
        <f t="shared" si="66"/>
        <v>1597824</v>
      </c>
      <c r="AH82" s="30"/>
      <c r="AI82" s="30">
        <v>5.7</v>
      </c>
      <c r="AJ82" s="30">
        <v>2.1999999999999999E-2</v>
      </c>
      <c r="AK82" s="30"/>
      <c r="AL82" s="30"/>
      <c r="AM82" s="30"/>
      <c r="AN82" s="30" t="s">
        <v>149</v>
      </c>
      <c r="AO82" s="30">
        <v>11.00925</v>
      </c>
      <c r="AP82" s="30">
        <v>2300</v>
      </c>
      <c r="AQ82" s="30"/>
      <c r="AR82" s="30">
        <v>80</v>
      </c>
      <c r="AS82" s="30"/>
      <c r="AT82" s="30"/>
      <c r="AU82" s="30" t="s">
        <v>140</v>
      </c>
      <c r="AV82" s="30"/>
      <c r="AW82" s="30"/>
      <c r="AX82" s="30" t="s">
        <v>148</v>
      </c>
      <c r="AY82" s="30">
        <v>17</v>
      </c>
      <c r="AZ82" s="30">
        <v>1</v>
      </c>
      <c r="BA82" s="30" t="s">
        <v>82</v>
      </c>
      <c r="BB82" s="30" t="s">
        <v>150</v>
      </c>
      <c r="BC82" s="30"/>
      <c r="BD82" s="30"/>
      <c r="BE82" s="30"/>
      <c r="BF82" s="30">
        <v>150</v>
      </c>
      <c r="BG82" s="30">
        <f t="shared" si="67"/>
        <v>1800</v>
      </c>
      <c r="BH82" s="30"/>
      <c r="BI82" s="30"/>
      <c r="BJ82" s="30">
        <f t="shared" si="68"/>
        <v>657000</v>
      </c>
      <c r="BK82" s="30">
        <v>6</v>
      </c>
      <c r="BL82" s="30">
        <v>5</v>
      </c>
      <c r="BM82" s="30">
        <v>2.8</v>
      </c>
      <c r="BN82" s="30">
        <v>1.5</v>
      </c>
      <c r="BO82" s="35">
        <f t="shared" si="69"/>
        <v>4.6000000000000005</v>
      </c>
      <c r="BP82" s="32">
        <f t="shared" si="70"/>
        <v>1.0529999999999999</v>
      </c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</row>
    <row r="83" spans="1:81" ht="45">
      <c r="A83" s="58" t="s">
        <v>340</v>
      </c>
      <c r="B83" s="58" t="s">
        <v>344</v>
      </c>
      <c r="C83" s="29" t="s">
        <v>245</v>
      </c>
      <c r="D83" s="30">
        <v>192</v>
      </c>
      <c r="E83" s="31">
        <f t="shared" si="49"/>
        <v>2277343.2000000002</v>
      </c>
      <c r="F83" s="32">
        <f t="shared" si="50"/>
        <v>3.7543194668606161</v>
      </c>
      <c r="G83" s="33">
        <f t="shared" si="51"/>
        <v>125.3480121091474</v>
      </c>
      <c r="H83" s="34">
        <f t="shared" si="52"/>
        <v>6.6589964494697493E-2</v>
      </c>
      <c r="I83" s="35">
        <f t="shared" si="53"/>
        <v>2.5</v>
      </c>
      <c r="J83" s="36">
        <f t="shared" si="48"/>
        <v>125.3480121091474</v>
      </c>
      <c r="K83" s="32">
        <f t="shared" si="54"/>
        <v>3.7543194668606161</v>
      </c>
      <c r="L83" s="34">
        <f t="shared" si="55"/>
        <v>6.1204011484096953E-2</v>
      </c>
      <c r="M83" s="32">
        <f t="shared" si="56"/>
        <v>4.08469957994435</v>
      </c>
      <c r="N83" s="43">
        <v>2277343.2000000002</v>
      </c>
      <c r="O83" s="31">
        <f>N83*0.93</f>
        <v>2117929.1760000004</v>
      </c>
      <c r="P83" s="31">
        <f t="shared" si="57"/>
        <v>2352480.6531600002</v>
      </c>
      <c r="Q83" s="37">
        <f t="shared" si="58"/>
        <v>2197636.1880000001</v>
      </c>
      <c r="R83" s="31">
        <f t="shared" si="59"/>
        <v>395574.51384000003</v>
      </c>
      <c r="S83" s="30">
        <f t="shared" si="60"/>
        <v>168192</v>
      </c>
      <c r="T83" s="38">
        <v>7.0000000000000007E-2</v>
      </c>
      <c r="U83" s="31">
        <f t="shared" si="61"/>
        <v>153834.53316000002</v>
      </c>
      <c r="V83" s="30"/>
      <c r="W83" s="30"/>
      <c r="X83" s="30"/>
      <c r="Y83" s="30">
        <v>17</v>
      </c>
      <c r="Z83" s="30"/>
      <c r="AA83" s="30">
        <v>88</v>
      </c>
      <c r="AB83" s="31">
        <f t="shared" si="62"/>
        <v>0</v>
      </c>
      <c r="AC83" s="31">
        <f t="shared" si="63"/>
        <v>0</v>
      </c>
      <c r="AD83" s="31">
        <f t="shared" si="64"/>
        <v>1638.12</v>
      </c>
      <c r="AE83" s="31">
        <f t="shared" si="71"/>
        <v>2197008</v>
      </c>
      <c r="AF83" s="30">
        <f t="shared" si="65"/>
        <v>385440</v>
      </c>
      <c r="AG83" s="31">
        <f t="shared" si="66"/>
        <v>2197008</v>
      </c>
      <c r="AH83" s="30"/>
      <c r="AI83" s="30">
        <v>5.7</v>
      </c>
      <c r="AJ83" s="30">
        <v>2.1999999999999999E-2</v>
      </c>
      <c r="AK83" s="30">
        <v>34</v>
      </c>
      <c r="AL83" s="30">
        <v>6</v>
      </c>
      <c r="AM83" s="30"/>
      <c r="AN83" s="30" t="s">
        <v>350</v>
      </c>
      <c r="AO83" s="30">
        <v>8.9250000000000007</v>
      </c>
      <c r="AP83" s="44">
        <v>1650</v>
      </c>
      <c r="AQ83" s="30"/>
      <c r="AR83" s="30">
        <v>100</v>
      </c>
      <c r="AS83" s="30"/>
      <c r="AT83" s="30"/>
      <c r="AU83" s="30" t="s">
        <v>347</v>
      </c>
      <c r="AV83" s="30"/>
      <c r="AW83" s="30"/>
      <c r="AX83" s="30"/>
      <c r="AY83" s="30"/>
      <c r="AZ83" s="30">
        <v>1</v>
      </c>
      <c r="BA83" s="30" t="s">
        <v>93</v>
      </c>
      <c r="BB83" s="30"/>
      <c r="BC83" s="30"/>
      <c r="BD83" s="30"/>
      <c r="BE83" s="30"/>
      <c r="BF83" s="30">
        <v>192</v>
      </c>
      <c r="BG83" s="30">
        <f t="shared" si="67"/>
        <v>2304</v>
      </c>
      <c r="BH83" s="30">
        <v>466</v>
      </c>
      <c r="BI83" s="30">
        <v>933</v>
      </c>
      <c r="BJ83" s="30">
        <f t="shared" si="68"/>
        <v>840960</v>
      </c>
      <c r="BK83" s="30">
        <v>10</v>
      </c>
      <c r="BL83" s="30">
        <v>8</v>
      </c>
      <c r="BM83" s="30">
        <v>4.8</v>
      </c>
      <c r="BN83" s="30">
        <v>6</v>
      </c>
      <c r="BO83" s="35">
        <f t="shared" si="69"/>
        <v>7.6000000000000005</v>
      </c>
      <c r="BP83" s="32">
        <f t="shared" si="70"/>
        <v>1.0880000000000001</v>
      </c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</row>
    <row r="84" spans="1:81" ht="45">
      <c r="A84" s="58" t="s">
        <v>34</v>
      </c>
      <c r="B84" s="58" t="s">
        <v>69</v>
      </c>
      <c r="C84" s="29" t="s">
        <v>245</v>
      </c>
      <c r="D84" s="30">
        <v>120</v>
      </c>
      <c r="E84" s="31">
        <f t="shared" si="49"/>
        <v>2100000</v>
      </c>
      <c r="F84" s="32">
        <f t="shared" si="50"/>
        <v>3.9425264627865761</v>
      </c>
      <c r="G84" s="33">
        <f t="shared" si="51"/>
        <v>132.51914154254416</v>
      </c>
      <c r="H84" s="34">
        <f t="shared" si="52"/>
        <v>6.3411115273351928E-2</v>
      </c>
      <c r="I84" s="35">
        <f t="shared" si="53"/>
        <v>2.5</v>
      </c>
      <c r="J84" s="36">
        <f t="shared" si="48"/>
        <v>132.51914154254416</v>
      </c>
      <c r="K84" s="32">
        <f t="shared" si="54"/>
        <v>3.9425264627865761</v>
      </c>
      <c r="L84" s="34">
        <f t="shared" si="55"/>
        <v>5.8193131177747263E-2</v>
      </c>
      <c r="M84" s="32">
        <f t="shared" si="56"/>
        <v>4.2960396689497715</v>
      </c>
      <c r="N84" s="31">
        <v>2100000</v>
      </c>
      <c r="O84" s="31">
        <f>N84*0.93</f>
        <v>1953000</v>
      </c>
      <c r="P84" s="31">
        <f t="shared" si="57"/>
        <v>1441628.76</v>
      </c>
      <c r="Q84" s="37">
        <f t="shared" si="58"/>
        <v>2026500</v>
      </c>
      <c r="R84" s="31">
        <f t="shared" si="59"/>
        <v>364770</v>
      </c>
      <c r="S84" s="31">
        <f t="shared" si="60"/>
        <v>105120</v>
      </c>
      <c r="T84" s="38">
        <v>7.0000000000000007E-2</v>
      </c>
      <c r="U84" s="31">
        <f t="shared" si="61"/>
        <v>141855</v>
      </c>
      <c r="V84" s="30"/>
      <c r="W84" s="30"/>
      <c r="X84" s="30"/>
      <c r="Y84" s="30">
        <v>16</v>
      </c>
      <c r="Z84" s="30"/>
      <c r="AA84" s="30">
        <v>52</v>
      </c>
      <c r="AB84" s="31">
        <f t="shared" si="62"/>
        <v>0</v>
      </c>
      <c r="AC84" s="31">
        <f t="shared" si="63"/>
        <v>0</v>
      </c>
      <c r="AD84" s="31">
        <f t="shared" si="64"/>
        <v>1541.76</v>
      </c>
      <c r="AE84" s="31">
        <f t="shared" si="71"/>
        <v>1298232</v>
      </c>
      <c r="AF84" s="30">
        <f t="shared" si="65"/>
        <v>227760</v>
      </c>
      <c r="AG84" s="31">
        <f t="shared" si="66"/>
        <v>1298232</v>
      </c>
      <c r="AH84" s="30"/>
      <c r="AI84" s="30">
        <v>5.7</v>
      </c>
      <c r="AJ84" s="30">
        <v>2.1999999999999999E-2</v>
      </c>
      <c r="AK84" s="30"/>
      <c r="AL84" s="30"/>
      <c r="AM84" s="30"/>
      <c r="AN84" s="30" t="s">
        <v>177</v>
      </c>
      <c r="AO84" s="30">
        <v>8.3894428800000007</v>
      </c>
      <c r="AP84" s="30">
        <v>1590</v>
      </c>
      <c r="AQ84" s="30"/>
      <c r="AR84" s="30">
        <v>52</v>
      </c>
      <c r="AS84" s="30"/>
      <c r="AT84" s="30"/>
      <c r="AU84" s="30" t="s">
        <v>221</v>
      </c>
      <c r="AV84" s="30">
        <v>16</v>
      </c>
      <c r="AW84" s="30" t="s">
        <v>55</v>
      </c>
      <c r="AX84" s="30" t="s">
        <v>55</v>
      </c>
      <c r="AY84" s="30"/>
      <c r="AZ84" s="30">
        <v>1</v>
      </c>
      <c r="BA84" s="30" t="s">
        <v>16</v>
      </c>
      <c r="BB84" s="30">
        <v>9</v>
      </c>
      <c r="BC84" s="30">
        <v>100</v>
      </c>
      <c r="BD84" s="30"/>
      <c r="BE84" s="30"/>
      <c r="BF84" s="30">
        <v>120</v>
      </c>
      <c r="BG84" s="30">
        <f t="shared" si="67"/>
        <v>1440</v>
      </c>
      <c r="BH84" s="30"/>
      <c r="BI84" s="30"/>
      <c r="BJ84" s="30">
        <f t="shared" si="68"/>
        <v>525600</v>
      </c>
      <c r="BK84" s="30">
        <v>10</v>
      </c>
      <c r="BL84" s="30">
        <v>9</v>
      </c>
      <c r="BM84" s="30">
        <v>4.8</v>
      </c>
      <c r="BN84" s="30">
        <v>9</v>
      </c>
      <c r="BO84" s="35">
        <f t="shared" si="69"/>
        <v>7.9333333333333336</v>
      </c>
      <c r="BP84" s="32">
        <f t="shared" si="70"/>
        <v>1.0896666666666666</v>
      </c>
      <c r="BQ84" s="30" t="s">
        <v>27</v>
      </c>
      <c r="BR84" s="30" t="s">
        <v>171</v>
      </c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</row>
    <row r="85" spans="1:81" ht="45">
      <c r="A85" s="58" t="s">
        <v>30</v>
      </c>
      <c r="B85" s="58" t="s">
        <v>224</v>
      </c>
      <c r="C85" s="29" t="s">
        <v>245</v>
      </c>
      <c r="D85" s="30">
        <v>150</v>
      </c>
      <c r="E85" s="31">
        <f t="shared" si="49"/>
        <v>1794877</v>
      </c>
      <c r="F85" s="32">
        <f t="shared" si="50"/>
        <v>4.0358169018030905</v>
      </c>
      <c r="G85" s="33">
        <f t="shared" si="51"/>
        <v>121.10114906981529</v>
      </c>
      <c r="H85" s="34">
        <f t="shared" si="52"/>
        <v>6.1945327571304575E-2</v>
      </c>
      <c r="I85" s="35">
        <f t="shared" si="53"/>
        <v>2.5</v>
      </c>
      <c r="J85" s="36">
        <f t="shared" si="48"/>
        <v>121.10114906981529</v>
      </c>
      <c r="K85" s="32">
        <f t="shared" si="54"/>
        <v>4.0358169018030905</v>
      </c>
      <c r="L85" s="34">
        <f t="shared" si="55"/>
        <v>5.683926677287466E-2</v>
      </c>
      <c r="M85" s="32">
        <f t="shared" si="56"/>
        <v>4.3983677868150686</v>
      </c>
      <c r="N85" s="31">
        <v>1794877</v>
      </c>
      <c r="O85" s="31">
        <f>N85*0.95</f>
        <v>1705133.15</v>
      </c>
      <c r="P85" s="31">
        <f t="shared" si="57"/>
        <v>1996781.1952500001</v>
      </c>
      <c r="Q85" s="37">
        <f t="shared" si="58"/>
        <v>1750005.075</v>
      </c>
      <c r="R85" s="31">
        <f t="shared" si="59"/>
        <v>315000.91349999997</v>
      </c>
      <c r="S85" s="31">
        <f t="shared" si="60"/>
        <v>131400</v>
      </c>
      <c r="T85" s="38">
        <v>7.0000000000000007E-2</v>
      </c>
      <c r="U85" s="31">
        <f t="shared" si="61"/>
        <v>122500.35525000001</v>
      </c>
      <c r="V85" s="30"/>
      <c r="W85" s="30"/>
      <c r="X85" s="30"/>
      <c r="Y85" s="30">
        <v>19</v>
      </c>
      <c r="Z85" s="30"/>
      <c r="AA85" s="30">
        <v>75</v>
      </c>
      <c r="AB85" s="31">
        <f t="shared" si="62"/>
        <v>0</v>
      </c>
      <c r="AC85" s="31">
        <f t="shared" si="63"/>
        <v>0</v>
      </c>
      <c r="AD85" s="31">
        <f t="shared" si="64"/>
        <v>1830.84</v>
      </c>
      <c r="AE85" s="31">
        <f t="shared" si="71"/>
        <v>1872450</v>
      </c>
      <c r="AF85" s="30">
        <f t="shared" si="65"/>
        <v>328500</v>
      </c>
      <c r="AG85" s="31">
        <f t="shared" si="66"/>
        <v>1872450</v>
      </c>
      <c r="AH85" s="30"/>
      <c r="AI85" s="30">
        <v>5.7</v>
      </c>
      <c r="AJ85" s="30">
        <v>2.1999999999999999E-2</v>
      </c>
      <c r="AK85" s="30"/>
      <c r="AL85" s="30"/>
      <c r="AM85" s="30"/>
      <c r="AN85" s="30" t="s">
        <v>175</v>
      </c>
      <c r="AO85" s="30">
        <v>5.7535999999999996</v>
      </c>
      <c r="AP85" s="30">
        <v>1700</v>
      </c>
      <c r="AQ85" s="30"/>
      <c r="AR85" s="30">
        <v>52.2</v>
      </c>
      <c r="AS85" s="30"/>
      <c r="AT85" s="30"/>
      <c r="AU85" s="30" t="s">
        <v>164</v>
      </c>
      <c r="AV85" s="30">
        <v>15</v>
      </c>
      <c r="AW85" s="30" t="s">
        <v>55</v>
      </c>
      <c r="AX85" s="30" t="s">
        <v>55</v>
      </c>
      <c r="AY85" s="30"/>
      <c r="AZ85" s="30">
        <v>1</v>
      </c>
      <c r="BA85" s="30" t="s">
        <v>16</v>
      </c>
      <c r="BB85" s="30">
        <v>9.6</v>
      </c>
      <c r="BC85" s="30">
        <v>250</v>
      </c>
      <c r="BD85" s="30"/>
      <c r="BE85" s="30"/>
      <c r="BF85" s="30">
        <v>150</v>
      </c>
      <c r="BG85" s="30">
        <f t="shared" si="67"/>
        <v>1800</v>
      </c>
      <c r="BH85" s="30"/>
      <c r="BI85" s="30"/>
      <c r="BJ85" s="30">
        <f t="shared" si="68"/>
        <v>657000</v>
      </c>
      <c r="BK85" s="30">
        <v>10</v>
      </c>
      <c r="BL85" s="30">
        <v>9</v>
      </c>
      <c r="BM85" s="30">
        <v>4.9000000000000004</v>
      </c>
      <c r="BN85" s="30">
        <v>11.9</v>
      </c>
      <c r="BO85" s="35">
        <f t="shared" si="69"/>
        <v>7.9666666666666659</v>
      </c>
      <c r="BP85" s="32">
        <f t="shared" si="70"/>
        <v>1.0898333333333334</v>
      </c>
      <c r="BQ85" s="30" t="s">
        <v>27</v>
      </c>
      <c r="BR85" s="30" t="s">
        <v>31</v>
      </c>
      <c r="BS85" s="30" t="s">
        <v>169</v>
      </c>
      <c r="BT85" s="30"/>
      <c r="BU85" s="30" t="s">
        <v>170</v>
      </c>
      <c r="BV85" s="30"/>
      <c r="BW85" s="30"/>
      <c r="BX85" s="30"/>
      <c r="BY85" s="30"/>
      <c r="BZ85" s="30"/>
      <c r="CA85" s="30"/>
      <c r="CB85" s="30"/>
      <c r="CC85" s="30"/>
    </row>
    <row r="86" spans="1:81" ht="45">
      <c r="A86" s="58" t="s">
        <v>333</v>
      </c>
      <c r="B86" s="58" t="s">
        <v>338</v>
      </c>
      <c r="C86" s="29" t="s">
        <v>245</v>
      </c>
      <c r="D86" s="30">
        <v>150</v>
      </c>
      <c r="E86" s="31">
        <f t="shared" si="49"/>
        <v>2500000</v>
      </c>
      <c r="F86" s="32">
        <f t="shared" si="50"/>
        <v>4.0579441124098654</v>
      </c>
      <c r="G86" s="33">
        <f t="shared" si="51"/>
        <v>128.67620575735552</v>
      </c>
      <c r="H86" s="34">
        <f t="shared" si="52"/>
        <v>6.1607551280821869E-2</v>
      </c>
      <c r="I86" s="35">
        <f t="shared" si="53"/>
        <v>2.5</v>
      </c>
      <c r="J86" s="36">
        <f t="shared" si="48"/>
        <v>128.67620575735552</v>
      </c>
      <c r="K86" s="32">
        <f t="shared" si="54"/>
        <v>4.0579441124098654</v>
      </c>
      <c r="L86" s="34">
        <f t="shared" si="55"/>
        <v>5.7088078406939184E-2</v>
      </c>
      <c r="M86" s="32">
        <f t="shared" si="56"/>
        <v>4.3791980213089801</v>
      </c>
      <c r="N86" s="31">
        <v>2500000</v>
      </c>
      <c r="O86" s="31">
        <f>N86*0.93</f>
        <v>2325000</v>
      </c>
      <c r="P86" s="31">
        <f t="shared" si="57"/>
        <v>1867456.48</v>
      </c>
      <c r="Q86" s="37">
        <f t="shared" si="58"/>
        <v>2412500</v>
      </c>
      <c r="R86" s="31">
        <f t="shared" si="59"/>
        <v>434250</v>
      </c>
      <c r="S86" s="30">
        <f t="shared" si="60"/>
        <v>131400</v>
      </c>
      <c r="T86" s="38">
        <v>0.08</v>
      </c>
      <c r="U86" s="31">
        <f t="shared" si="61"/>
        <v>193000</v>
      </c>
      <c r="V86" s="30"/>
      <c r="W86" s="30"/>
      <c r="X86" s="30"/>
      <c r="Y86" s="30">
        <v>18</v>
      </c>
      <c r="Z86" s="30"/>
      <c r="AA86" s="47">
        <v>67</v>
      </c>
      <c r="AB86" s="31">
        <f t="shared" si="62"/>
        <v>0</v>
      </c>
      <c r="AC86" s="31">
        <f t="shared" si="63"/>
        <v>0</v>
      </c>
      <c r="AD86" s="31">
        <f t="shared" si="64"/>
        <v>1734.4799999999998</v>
      </c>
      <c r="AE86" s="31">
        <f t="shared" si="71"/>
        <v>1672722</v>
      </c>
      <c r="AF86" s="30">
        <f t="shared" si="65"/>
        <v>293460</v>
      </c>
      <c r="AG86" s="31">
        <f t="shared" si="66"/>
        <v>1672722</v>
      </c>
      <c r="AH86" s="30"/>
      <c r="AI86" s="30">
        <v>5.7</v>
      </c>
      <c r="AJ86" s="30">
        <v>2.1999999999999999E-2</v>
      </c>
      <c r="AK86" s="30">
        <v>34</v>
      </c>
      <c r="AL86" s="30">
        <v>6</v>
      </c>
      <c r="AM86" s="30"/>
      <c r="AN86" s="47" t="s">
        <v>339</v>
      </c>
      <c r="AO86" s="30">
        <v>9.5640000000000001</v>
      </c>
      <c r="AP86" s="47">
        <v>1830</v>
      </c>
      <c r="AQ86" s="30"/>
      <c r="AR86" s="47">
        <v>67</v>
      </c>
      <c r="AS86" s="30"/>
      <c r="AT86" s="30"/>
      <c r="AU86" s="30"/>
      <c r="AV86" s="30"/>
      <c r="AW86" s="30"/>
      <c r="AX86" s="30"/>
      <c r="AY86" s="30">
        <v>18</v>
      </c>
      <c r="AZ86" s="30">
        <v>1</v>
      </c>
      <c r="BA86" s="46" t="s">
        <v>82</v>
      </c>
      <c r="BB86" s="47">
        <v>14.4</v>
      </c>
      <c r="BC86" s="30"/>
      <c r="BD86" s="30"/>
      <c r="BE86" s="30"/>
      <c r="BF86" s="30">
        <v>150</v>
      </c>
      <c r="BG86" s="30">
        <f t="shared" si="67"/>
        <v>1800</v>
      </c>
      <c r="BH86" s="30">
        <v>270</v>
      </c>
      <c r="BI86" s="30">
        <v>350</v>
      </c>
      <c r="BJ86" s="30">
        <f t="shared" si="68"/>
        <v>657000</v>
      </c>
      <c r="BK86" s="30">
        <v>9</v>
      </c>
      <c r="BL86" s="30">
        <v>7</v>
      </c>
      <c r="BM86" s="30">
        <v>4.5</v>
      </c>
      <c r="BN86" s="30">
        <v>5</v>
      </c>
      <c r="BO86" s="35">
        <f t="shared" si="69"/>
        <v>6.833333333333333</v>
      </c>
      <c r="BP86" s="32">
        <f t="shared" si="70"/>
        <v>1.0791666666666666</v>
      </c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</row>
    <row r="87" spans="1:81" ht="45">
      <c r="A87" s="58" t="s">
        <v>340</v>
      </c>
      <c r="B87" s="63" t="s">
        <v>341</v>
      </c>
      <c r="C87" s="29" t="s">
        <v>245</v>
      </c>
      <c r="D87" s="30">
        <v>120</v>
      </c>
      <c r="E87" s="31">
        <f t="shared" si="49"/>
        <v>2153124.48</v>
      </c>
      <c r="F87" s="32">
        <f t="shared" si="50"/>
        <v>4.686235253198026</v>
      </c>
      <c r="G87" s="33">
        <f t="shared" si="51"/>
        <v>121.9996520587313</v>
      </c>
      <c r="H87" s="34">
        <f t="shared" si="52"/>
        <v>5.3347727225045438E-2</v>
      </c>
      <c r="I87" s="35">
        <f t="shared" si="53"/>
        <v>2.5</v>
      </c>
      <c r="J87" s="36">
        <f t="shared" si="48"/>
        <v>121.9996520587313</v>
      </c>
      <c r="K87" s="32">
        <f t="shared" si="54"/>
        <v>4.686235253198026</v>
      </c>
      <c r="L87" s="34">
        <f t="shared" si="55"/>
        <v>4.90328375230197E-2</v>
      </c>
      <c r="M87" s="32">
        <f t="shared" si="56"/>
        <v>5.0986239554794519</v>
      </c>
      <c r="N87" s="31">
        <v>2153124.48</v>
      </c>
      <c r="O87" s="31">
        <f>N87*0.93</f>
        <v>2002405.7664000001</v>
      </c>
      <c r="P87" s="31">
        <f t="shared" si="57"/>
        <v>1769871.6786240002</v>
      </c>
      <c r="Q87" s="37">
        <f t="shared" si="58"/>
        <v>2077765.1232</v>
      </c>
      <c r="R87" s="31">
        <f t="shared" si="59"/>
        <v>373997.72217600001</v>
      </c>
      <c r="S87" s="30">
        <f t="shared" si="60"/>
        <v>105120</v>
      </c>
      <c r="T87" s="38">
        <v>7.0000000000000007E-2</v>
      </c>
      <c r="U87" s="31">
        <f t="shared" si="61"/>
        <v>145443.55862400003</v>
      </c>
      <c r="V87" s="30"/>
      <c r="W87" s="30"/>
      <c r="X87" s="30"/>
      <c r="Y87" s="30">
        <v>17</v>
      </c>
      <c r="Z87" s="30"/>
      <c r="AA87" s="30">
        <v>65</v>
      </c>
      <c r="AB87" s="31">
        <f t="shared" si="62"/>
        <v>0</v>
      </c>
      <c r="AC87" s="31">
        <f t="shared" si="63"/>
        <v>0</v>
      </c>
      <c r="AD87" s="31">
        <f t="shared" si="64"/>
        <v>1638.12</v>
      </c>
      <c r="AE87" s="31">
        <f t="shared" si="71"/>
        <v>1622790</v>
      </c>
      <c r="AF87" s="30">
        <f t="shared" si="65"/>
        <v>284700</v>
      </c>
      <c r="AG87" s="31">
        <f t="shared" si="66"/>
        <v>1622790</v>
      </c>
      <c r="AH87" s="30"/>
      <c r="AI87" s="30">
        <v>5.7</v>
      </c>
      <c r="AJ87" s="30">
        <v>2.1999999999999999E-2</v>
      </c>
      <c r="AK87" s="30">
        <v>34</v>
      </c>
      <c r="AL87" s="30">
        <v>6</v>
      </c>
      <c r="AM87" s="30"/>
      <c r="AN87" s="30" t="s">
        <v>348</v>
      </c>
      <c r="AO87" s="30">
        <v>6.59</v>
      </c>
      <c r="AP87" s="44">
        <v>1350</v>
      </c>
      <c r="AQ87" s="30"/>
      <c r="AR87" s="30">
        <v>80</v>
      </c>
      <c r="AS87" s="30"/>
      <c r="AT87" s="30"/>
      <c r="AU87" s="30" t="s">
        <v>347</v>
      </c>
      <c r="AV87" s="30"/>
      <c r="AW87" s="30"/>
      <c r="AX87" s="30"/>
      <c r="AY87" s="30"/>
      <c r="AZ87" s="30">
        <v>1</v>
      </c>
      <c r="BA87" s="30" t="s">
        <v>16</v>
      </c>
      <c r="BB87" s="30"/>
      <c r="BC87" s="30"/>
      <c r="BD87" s="30"/>
      <c r="BE87" s="30"/>
      <c r="BF87" s="30">
        <v>120</v>
      </c>
      <c r="BG87" s="30">
        <f t="shared" si="67"/>
        <v>1440</v>
      </c>
      <c r="BH87" s="30">
        <v>300</v>
      </c>
      <c r="BI87" s="30">
        <v>600</v>
      </c>
      <c r="BJ87" s="30">
        <f t="shared" si="68"/>
        <v>525600</v>
      </c>
      <c r="BK87" s="30">
        <v>10</v>
      </c>
      <c r="BL87" s="30">
        <v>8</v>
      </c>
      <c r="BM87" s="30">
        <v>4.8</v>
      </c>
      <c r="BN87" s="30">
        <v>6</v>
      </c>
      <c r="BO87" s="35">
        <f t="shared" si="69"/>
        <v>7.6000000000000005</v>
      </c>
      <c r="BP87" s="32">
        <f t="shared" si="70"/>
        <v>1.0880000000000001</v>
      </c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</row>
    <row r="88" spans="1:81" ht="45">
      <c r="A88" s="58" t="s">
        <v>21</v>
      </c>
      <c r="B88" s="58" t="s">
        <v>351</v>
      </c>
      <c r="C88" s="29" t="s">
        <v>245</v>
      </c>
      <c r="D88" s="30">
        <v>35</v>
      </c>
      <c r="E88" s="31">
        <f t="shared" si="49"/>
        <v>417000</v>
      </c>
      <c r="F88" s="32">
        <f t="shared" si="50"/>
        <v>5.3457278425277801</v>
      </c>
      <c r="G88" s="33">
        <f t="shared" si="51"/>
        <v>111.04830747361578</v>
      </c>
      <c r="H88" s="34">
        <f t="shared" si="52"/>
        <v>4.6766316461367974E-2</v>
      </c>
      <c r="I88" s="35">
        <f t="shared" si="53"/>
        <v>2.5</v>
      </c>
      <c r="J88" s="36">
        <f t="shared" si="48"/>
        <v>111.04830747361578</v>
      </c>
      <c r="K88" s="32">
        <f t="shared" si="54"/>
        <v>5.3457278425277801</v>
      </c>
      <c r="L88" s="34">
        <f t="shared" si="55"/>
        <v>4.3918907304462018E-2</v>
      </c>
      <c r="M88" s="32">
        <f t="shared" si="56"/>
        <v>5.6923091976516638</v>
      </c>
      <c r="N88" s="31">
        <v>417000</v>
      </c>
      <c r="O88" s="31">
        <f>N88*0.9</f>
        <v>375300</v>
      </c>
      <c r="P88" s="31">
        <f t="shared" si="57"/>
        <v>626797.80000000005</v>
      </c>
      <c r="Q88" s="37">
        <f t="shared" si="58"/>
        <v>396150</v>
      </c>
      <c r="R88" s="31">
        <f t="shared" si="59"/>
        <v>71307</v>
      </c>
      <c r="S88" s="31">
        <f t="shared" si="60"/>
        <v>30660</v>
      </c>
      <c r="T88" s="38">
        <v>0.1</v>
      </c>
      <c r="U88" s="31">
        <f t="shared" si="61"/>
        <v>39615</v>
      </c>
      <c r="V88" s="30"/>
      <c r="W88" s="30"/>
      <c r="X88" s="30"/>
      <c r="Y88" s="30">
        <v>5</v>
      </c>
      <c r="Z88" s="30"/>
      <c r="AA88" s="30">
        <v>23.5</v>
      </c>
      <c r="AB88" s="31">
        <f t="shared" si="62"/>
        <v>0</v>
      </c>
      <c r="AC88" s="31">
        <f t="shared" si="63"/>
        <v>0</v>
      </c>
      <c r="AD88" s="31">
        <f t="shared" si="64"/>
        <v>481.79999999999995</v>
      </c>
      <c r="AE88" s="31">
        <f t="shared" si="71"/>
        <v>586701</v>
      </c>
      <c r="AF88" s="30">
        <f t="shared" si="65"/>
        <v>102930</v>
      </c>
      <c r="AG88" s="31">
        <f t="shared" si="66"/>
        <v>586701</v>
      </c>
      <c r="AH88" s="30"/>
      <c r="AI88" s="30">
        <v>5.7</v>
      </c>
      <c r="AJ88" s="30">
        <v>2.1999999999999999E-2</v>
      </c>
      <c r="AK88" s="30">
        <v>34</v>
      </c>
      <c r="AL88" s="30">
        <v>6</v>
      </c>
      <c r="AM88" s="30"/>
      <c r="AN88" s="30" t="s">
        <v>352</v>
      </c>
      <c r="AO88" s="30">
        <v>3.198</v>
      </c>
      <c r="AP88" s="30">
        <v>365</v>
      </c>
      <c r="AQ88" s="30"/>
      <c r="AR88" s="30"/>
      <c r="AS88" s="30"/>
      <c r="AT88" s="30"/>
      <c r="AU88" s="30" t="s">
        <v>221</v>
      </c>
      <c r="AV88" s="30">
        <v>25</v>
      </c>
      <c r="AW88" s="30"/>
      <c r="AX88" s="30">
        <v>5.0999999999999996</v>
      </c>
      <c r="AY88" s="30">
        <v>10</v>
      </c>
      <c r="AZ88" s="30">
        <v>1</v>
      </c>
      <c r="BA88" s="30" t="s">
        <v>320</v>
      </c>
      <c r="BB88" s="30">
        <v>2.7</v>
      </c>
      <c r="BC88" s="30"/>
      <c r="BD88" s="30"/>
      <c r="BE88" s="30"/>
      <c r="BF88" s="30">
        <v>35</v>
      </c>
      <c r="BG88" s="30">
        <f t="shared" si="67"/>
        <v>420</v>
      </c>
      <c r="BH88" s="30">
        <v>60</v>
      </c>
      <c r="BI88" s="30">
        <v>120</v>
      </c>
      <c r="BJ88" s="30">
        <f t="shared" si="68"/>
        <v>153300</v>
      </c>
      <c r="BK88" s="30">
        <v>7</v>
      </c>
      <c r="BL88" s="30">
        <v>7</v>
      </c>
      <c r="BM88" s="30">
        <v>3.9</v>
      </c>
      <c r="BN88" s="30">
        <v>28.4</v>
      </c>
      <c r="BO88" s="35">
        <f t="shared" si="69"/>
        <v>5.9666666666666659</v>
      </c>
      <c r="BP88" s="32">
        <f t="shared" si="70"/>
        <v>1.0648333333333333</v>
      </c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</row>
  </sheetData>
  <autoFilter ref="A2:CK88">
    <filterColumn colId="0"/>
    <sortState ref="A3:CK88">
      <sortCondition descending="1" ref="H2:H88"/>
    </sortState>
  </autoFilter>
  <mergeCells count="9">
    <mergeCell ref="A1:B1"/>
    <mergeCell ref="BQ1:CB1"/>
    <mergeCell ref="BK1:BP1"/>
    <mergeCell ref="W1:AA1"/>
    <mergeCell ref="AB1:AG1"/>
    <mergeCell ref="AI1:AL1"/>
    <mergeCell ref="AN1:AP1"/>
    <mergeCell ref="AR1:BC1"/>
    <mergeCell ref="BF1:BI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Источники</vt:lpstr>
      <vt:lpstr>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2016-09-18T16:26:24Z</dcterms:modified>
</cp:coreProperties>
</file>